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EstaPasta_de_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fileserver\apaf$\NUCLEO OBRAS\OBRAS E REFORMAS\2- A LICITAR\2025_FARMÁCIA_UNIVERSITÁRIA\Para FAPEX\"/>
    </mc:Choice>
  </mc:AlternateContent>
  <xr:revisionPtr revIDLastSave="0" documentId="13_ncr:1_{8600640F-92F1-48EB-9518-0F1AA295F13C}" xr6:coauthVersionLast="47" xr6:coauthVersionMax="47" xr10:uidLastSave="{00000000-0000-0000-0000-000000000000}"/>
  <bookViews>
    <workbookView xWindow="-28920" yWindow="-120" windowWidth="29040" windowHeight="15840" tabRatio="865" activeTab="2" xr2:uid="{00000000-000D-0000-FFFF-FFFF00000000}"/>
  </bookViews>
  <sheets>
    <sheet name="SERVIÇOS" sheetId="42" r:id="rId1"/>
    <sheet name="COMPOSIÇÕES" sheetId="61" r:id="rId2"/>
    <sheet name="CRONOGRAMA" sheetId="57" r:id="rId3"/>
    <sheet name="ENCARGOS SOCIAIS" sheetId="59" r:id="rId4"/>
    <sheet name="BDI OBRAS" sheetId="55" r:id="rId5"/>
  </sheets>
  <externalReferences>
    <externalReference r:id="rId6"/>
    <externalReference r:id="rId7"/>
  </externalReferences>
  <definedNames>
    <definedName name="\A">[1]SERVIÇO!#REF!</definedName>
    <definedName name="\B">[1]SERVIÇO!#REF!</definedName>
    <definedName name="\C">[1]SERVIÇO!#REF!</definedName>
    <definedName name="\I">[1]SERVIÇO!#REF!</definedName>
    <definedName name="\J">[1]SERVIÇO!#REF!</definedName>
    <definedName name="\O">[1]SERVIÇO!#REF!</definedName>
    <definedName name="\P">[1]SERVIÇO!#REF!</definedName>
    <definedName name="___ACR10">[1]SERVIÇO!#REF!</definedName>
    <definedName name="___ACR15">[1]SERVIÇO!#REF!</definedName>
    <definedName name="___acr20">[1]SERVIÇO!#REF!</definedName>
    <definedName name="___acr5">[1]SERVIÇO!#REF!</definedName>
    <definedName name="___ARQ1">[1]SERVIÇO!#REF!</definedName>
    <definedName name="___QT100">[1]SERVIÇO!#REF!</definedName>
    <definedName name="___QT2">[1]SERVIÇO!#REF!</definedName>
    <definedName name="___QT3">[1]SERVIÇO!#REF!</definedName>
    <definedName name="___QT4">[1]SERVIÇO!#REF!</definedName>
    <definedName name="___QT50">[1]SERVIÇO!#REF!</definedName>
    <definedName name="___QT75">[1]SERVIÇO!#REF!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RQ1">[1]SERVIÇO!#REF!</definedName>
    <definedName name="_xlnm._FilterDatabase" localSheetId="2" hidden="1">CRONOGRAMA!$C$110:$C$124</definedName>
    <definedName name="_QT100">[1]SERVIÇO!#REF!</definedName>
    <definedName name="_QT2">[1]SERVIÇO!#REF!</definedName>
    <definedName name="_QT3">[1]SERVIÇO!#REF!</definedName>
    <definedName name="_QT4">[1]SERVIÇO!#REF!</definedName>
    <definedName name="_QT50">[1]SERVIÇO!#REF!</definedName>
    <definedName name="_QT75">[1]SERVIÇO!#REF!</definedName>
    <definedName name="_T">[1]SERVIÇO!#REF!</definedName>
    <definedName name="AAAAA">#REF!</definedName>
    <definedName name="abebqt">[1]SERVIÇO!#REF!</definedName>
    <definedName name="ACADUC">[1]SERVIÇO!#REF!</definedName>
    <definedName name="ACBEB">[1]SERVIÇO!#REF!</definedName>
    <definedName name="ACBOMB">[1]SERVIÇO!#REF!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MUR">[1]SERVIÇO!#REF!</definedName>
    <definedName name="ACONT2">[1]SERVIÇO!#REF!</definedName>
    <definedName name="ACPIPA">[1]SERVIÇO!#REF!</definedName>
    <definedName name="ACTRANSP">[1]SERVIÇO!#REF!</definedName>
    <definedName name="ADUCQT">[1]SERVIÇO!#REF!</definedName>
    <definedName name="AITEM">[1]SERVIÇO!#REF!</definedName>
    <definedName name="ALTADUC">[1]SERVIÇO!#REF!</definedName>
    <definedName name="ALTBOMB">[1]SERVIÇO!#REF!</definedName>
    <definedName name="ALTCAP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QTEMP1">[1]SERVIÇO!#REF!</definedName>
    <definedName name="AQTEMP2">[1]SERVIÇO!#REF!</definedName>
    <definedName name="_xlnm.Print_Area" localSheetId="4">'BDI OBRAS'!$A$1:$H$48</definedName>
    <definedName name="_xlnm.Print_Area" localSheetId="1">COMPOSIÇÕES!$A$1:$H$314</definedName>
    <definedName name="_xlnm.Print_Area" localSheetId="2">CRONOGRAMA!$A$1:$N$148</definedName>
    <definedName name="_xlnm.Print_Area" localSheetId="3">'ENCARGOS SOCIAIS'!$A$1:$M$53</definedName>
    <definedName name="_xlnm.Print_Area" localSheetId="0">SERVIÇOS!$A$1:$I$228</definedName>
    <definedName name="ARQ">[1]SERVIÇO!#REF!</definedName>
    <definedName name="ARQERR">[1]SERVIÇO!#REF!</definedName>
    <definedName name="ARQMARC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s">[1]SERVIÇO!#REF!</definedName>
    <definedName name="bebqt">[1]SERVIÇO!#REF!</definedName>
    <definedName name="CAMP">[1]SERVIÇO!#REF!</definedName>
    <definedName name="CHAFQT">[1]SERVIÇO!#REF!</definedName>
    <definedName name="COLSUB">[1]SERVIÇO!#REF!</definedName>
    <definedName name="CONT1">[1]SERVIÇO!#REF!</definedName>
    <definedName name="CONT2">[1]SERVIÇO!#REF!</definedName>
    <definedName name="CONT3">[1]SERVIÇO!#REF!</definedName>
    <definedName name="CONTAIT">[1]SERVIÇO!#REF!</definedName>
    <definedName name="CONTREC">[1]SERVIÇO!#REF!</definedName>
    <definedName name="CONTRES">[1]SERVIÇO!#REF!</definedName>
    <definedName name="CRITERX">[1]SERVIÇO!#REF!</definedName>
    <definedName name="DERIVQT">[1]SERVIÇO!#REF!</definedName>
    <definedName name="descnt">#REF!</definedName>
    <definedName name="descont">#REF!</definedName>
    <definedName name="DIFQT">[1]SERVIÇO!#REF!</definedName>
    <definedName name="EQPOTENC">[1]SERVIÇO!#REF!</definedName>
    <definedName name="FCRITER">[1]SERVIÇO!#REF!</definedName>
    <definedName name="HOJE">[1]SERVIÇO!#REF!</definedName>
    <definedName name="IMPF">[1]SERVIÇO!#REF!</definedName>
    <definedName name="IMPI">[1]SERVIÇO!#REF!</definedName>
    <definedName name="Insumos">'[2]RELAÇÃO - COMPOSIÇÕES E INSUMOS'!$A$7:$D$337</definedName>
    <definedName name="ITEMCONT">[1]SERVIÇO!#REF!</definedName>
    <definedName name="ITEMDER">[1]SERVIÇO!#REF!</definedName>
    <definedName name="ITEMEQP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LIN">[1]SERVIÇO!#REF!</definedName>
    <definedName name="LISTSEL">[1]SERVIÇO!#REF!</definedName>
    <definedName name="LOCAB">[1]SERVIÇO!#REF!</definedName>
    <definedName name="LOCAL">[1]SERVIÇO!#REF!</definedName>
    <definedName name="MARCAX">[1]SERVIÇO!#REF!</definedName>
    <definedName name="MENUBOM">[1]SERVIÇO!#REF!</definedName>
    <definedName name="MENUEQP">[1]SERVIÇO!#REF!</definedName>
    <definedName name="MENUFIM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UNICIPIO">[1]SERVIÇO!#REF!</definedName>
    <definedName name="MURBOMB">[1]SERVIÇO!#REF!</definedName>
    <definedName name="NDATA">[1]SERVIÇO!#REF!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PDER">[1]SERVIÇO!#REF!</definedName>
    <definedName name="PDIVERS">[1]SERVIÇO!#REF!</definedName>
    <definedName name="PEMD">[1]SERVIÇO!#REF!</definedName>
    <definedName name="PIEQUIP">[1]SERVIÇO!#REF!</definedName>
    <definedName name="PMUR">[1]SERVIÇO!#REF!</definedName>
    <definedName name="PTGERAL">[1]SERVIÇO!#REF!</definedName>
    <definedName name="QTNULO">[1]SERVIÇO!#REF!</definedName>
    <definedName name="QTPADRAO">[1]SERVIÇO!#REF!</definedName>
    <definedName name="QTRES">[1]SERVIÇO!#REF!</definedName>
    <definedName name="QUANT">[1]SERVIÇO!#REF!</definedName>
    <definedName name="QUANTP">[1]SERVIÇO!#REF!</definedName>
    <definedName name="RARQIMP">[1]SERVIÇO!#REF!</definedName>
    <definedName name="RECADUC">[1]SERVIÇO!#REF!</definedName>
    <definedName name="ridbeb">[1]SERVIÇO!#REF!</definedName>
    <definedName name="RIDCHAF">[1]SERVIÇO!#REF!</definedName>
    <definedName name="ridres05">[1]SERVIÇO!#REF!</definedName>
    <definedName name="RIDRES10">[1]SERVIÇO!#REF!</definedName>
    <definedName name="RIDRES15">[1]SERVIÇO!#REF!</definedName>
    <definedName name="ROMANO">[1]SERVIÇO!#REF!</definedName>
    <definedName name="ROTCOMP">[1]SERVIÇO!#REF!</definedName>
    <definedName name="ROTIMP">[1]SERVIÇO!#REF!</definedName>
    <definedName name="ROTRES">[1]SERVIÇO!#REF!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TEMP">[1]SERVIÇO!#REF!</definedName>
    <definedName name="RSEQ">[1]SERVIÇO!#REF!</definedName>
    <definedName name="RSUBTOT">[1]SERVIÇO!#REF!</definedName>
    <definedName name="rtitbeb">[1]SERVIÇO!#REF!</definedName>
    <definedName name="RTITCHAF">[1]SERVIÇO!#REF!</definedName>
    <definedName name="rtubos">[1]SERVIÇO!#REF!</definedName>
    <definedName name="SISTEM1">[1]SERVIÇO!#REF!</definedName>
    <definedName name="SISTEM2">[1]SERVIÇO!#REF!</definedName>
    <definedName name="SSS">[1]SERVIÇO!#REF!</definedName>
    <definedName name="SSTEMP">[1]SERVIÇO!#REF!</definedName>
    <definedName name="SUBDER">[1]SERVIÇO!#REF!</definedName>
    <definedName name="SUBDIV">[1]SERVIÇO!#REF!</definedName>
    <definedName name="SUBEQP">[1]SERVIÇO!#REF!</definedName>
    <definedName name="SUBMUR">[1]SERVIÇO!#REF!</definedName>
    <definedName name="titbeb">[1]SERVIÇO!#REF!</definedName>
    <definedName name="TITCHAF">[1]SERVIÇO!#REF!</definedName>
    <definedName name="_xlnm.Print_Titles" localSheetId="1">COMPOSIÇÕES!$1:$11</definedName>
    <definedName name="_xlnm.Print_Titles" localSheetId="0">SERVIÇOS!$1:$9</definedName>
    <definedName name="TOTQTS">[1]SERVIÇO!#REF!</definedName>
    <definedName name="TTT">[1]SERVIÇO!#REF!</definedName>
    <definedName name="TXTEQUIP">[1]SERVIÇO!#REF!</definedName>
    <definedName name="TXTMARCA">[1]SERVIÇO!#REF!</definedName>
    <definedName name="TXTMOD">[1]SERVIÇO!#REF!</definedName>
    <definedName name="TXTPOT">[1]SERVIÇO!#REF!</definedName>
    <definedName name="WITENS">[1]SERVIÇO!#REF!</definedName>
    <definedName name="WNMLOCAL">[1]SERVIÇO!#REF!</definedName>
    <definedName name="WNMMUN">[1]SERVIÇO!#REF!</definedName>
    <definedName name="WNMSERV">[1]SERVIÇO!#REF!</definedName>
    <definedName name="XALFA">[1]SERVIÇO!#REF!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ZECA">[1]SERVIÇO!#REF!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1" i="61" l="1"/>
  <c r="D283" i="61" l="1"/>
  <c r="H297" i="61"/>
  <c r="H296" i="61"/>
  <c r="H295" i="61"/>
  <c r="H294" i="61"/>
  <c r="H293" i="61"/>
  <c r="H284" i="61"/>
  <c r="A270" i="61"/>
  <c r="F193" i="42"/>
  <c r="D261" i="61"/>
  <c r="H195" i="61"/>
  <c r="H194" i="61"/>
  <c r="H193" i="61"/>
  <c r="H192" i="61"/>
  <c r="H191" i="61"/>
  <c r="H206" i="61"/>
  <c r="H205" i="61"/>
  <c r="H204" i="61"/>
  <c r="H203" i="61"/>
  <c r="H202" i="61"/>
  <c r="A187" i="61"/>
  <c r="H201" i="61"/>
  <c r="H135" i="42"/>
  <c r="H193" i="42"/>
  <c r="H298" i="61" l="1"/>
  <c r="G283" i="61" s="1"/>
  <c r="H283" i="61" s="1"/>
  <c r="H285" i="61" s="1"/>
  <c r="G194" i="42" s="1"/>
  <c r="H194" i="42" s="1"/>
  <c r="H196" i="61"/>
  <c r="G134" i="42" s="1"/>
  <c r="H134" i="42" s="1"/>
  <c r="H207" i="61"/>
  <c r="G136" i="42" s="1"/>
  <c r="H136" i="42" s="1"/>
  <c r="H262" i="61"/>
  <c r="H264" i="61"/>
  <c r="Q12" i="57" l="1"/>
  <c r="Q13" i="57" s="1"/>
  <c r="Q14" i="57" s="1"/>
  <c r="P24" i="57"/>
  <c r="P12" i="57" l="1"/>
  <c r="B25" i="57"/>
  <c r="B24" i="57"/>
  <c r="B23" i="57"/>
  <c r="B22" i="57"/>
  <c r="B21" i="57"/>
  <c r="B20" i="57"/>
  <c r="B19" i="57"/>
  <c r="B18" i="57"/>
  <c r="B17" i="57"/>
  <c r="B16" i="57"/>
  <c r="A25" i="57"/>
  <c r="A24" i="57"/>
  <c r="A23" i="57"/>
  <c r="A22" i="57"/>
  <c r="A21" i="57"/>
  <c r="A20" i="57"/>
  <c r="A19" i="57"/>
  <c r="A18" i="57"/>
  <c r="A17" i="57"/>
  <c r="A16" i="57"/>
  <c r="B15" i="57"/>
  <c r="B14" i="57"/>
  <c r="B13" i="57"/>
  <c r="B12" i="57"/>
  <c r="B11" i="57"/>
  <c r="A15" i="57" l="1"/>
  <c r="A14" i="57"/>
  <c r="A13" i="57"/>
  <c r="A12" i="57"/>
  <c r="H36" i="61" l="1"/>
  <c r="H37" i="61" s="1"/>
  <c r="G24" i="42" s="1"/>
  <c r="A31" i="61"/>
  <c r="F25" i="42"/>
  <c r="F26" i="42" s="1"/>
  <c r="F24" i="42"/>
  <c r="F90" i="42"/>
  <c r="H90" i="42" s="1"/>
  <c r="F89" i="42"/>
  <c r="F97" i="61"/>
  <c r="H97" i="61"/>
  <c r="H98" i="61"/>
  <c r="H99" i="61"/>
  <c r="H100" i="61"/>
  <c r="H61" i="61"/>
  <c r="H62" i="61"/>
  <c r="H63" i="61"/>
  <c r="H64" i="61"/>
  <c r="D215" i="61"/>
  <c r="H218" i="61"/>
  <c r="H217" i="61"/>
  <c r="H216" i="61"/>
  <c r="H215" i="61"/>
  <c r="H224" i="61"/>
  <c r="H225" i="61"/>
  <c r="H227" i="61"/>
  <c r="H226" i="61"/>
  <c r="H167" i="61"/>
  <c r="H166" i="61"/>
  <c r="F91" i="42"/>
  <c r="F92" i="42" s="1"/>
  <c r="H92" i="42" s="1"/>
  <c r="H65" i="61" l="1"/>
  <c r="H101" i="61"/>
  <c r="H219" i="61"/>
  <c r="G159" i="42" s="1"/>
  <c r="H228" i="61"/>
  <c r="G160" i="42" s="1"/>
  <c r="H160" i="42" s="1"/>
  <c r="H168" i="61"/>
  <c r="G132" i="42" s="1"/>
  <c r="H132" i="42" s="1"/>
  <c r="H91" i="42"/>
  <c r="H23" i="42"/>
  <c r="H22" i="42"/>
  <c r="H26" i="42" l="1"/>
  <c r="H25" i="42"/>
  <c r="H24" i="42"/>
  <c r="H21" i="42" s="1"/>
  <c r="C13" i="57" s="1"/>
  <c r="F118" i="42"/>
  <c r="D118" i="42"/>
  <c r="F115" i="42"/>
  <c r="D115" i="42"/>
  <c r="F112" i="42"/>
  <c r="D112" i="42"/>
  <c r="H154" i="61"/>
  <c r="H153" i="61"/>
  <c r="H152" i="61"/>
  <c r="D49" i="42"/>
  <c r="H182" i="61"/>
  <c r="H181" i="61"/>
  <c r="H183" i="61" s="1"/>
  <c r="G49" i="42" s="1"/>
  <c r="H49" i="42" s="1"/>
  <c r="H152" i="42"/>
  <c r="D73" i="42"/>
  <c r="H144" i="61"/>
  <c r="H143" i="61"/>
  <c r="H142" i="61"/>
  <c r="H141" i="61"/>
  <c r="H140" i="61"/>
  <c r="H139" i="61"/>
  <c r="H138" i="61"/>
  <c r="F130" i="42" l="1"/>
  <c r="H130" i="42" s="1"/>
  <c r="H155" i="61"/>
  <c r="H145" i="61"/>
  <c r="G73" i="42" s="1"/>
  <c r="G118" i="42" l="1"/>
  <c r="H118" i="42" s="1"/>
  <c r="G112" i="42"/>
  <c r="H112" i="42" s="1"/>
  <c r="G115" i="42"/>
  <c r="H115" i="42" s="1"/>
  <c r="H50" i="42"/>
  <c r="H123" i="61" l="1"/>
  <c r="H183" i="42"/>
  <c r="H263" i="61"/>
  <c r="H261" i="61"/>
  <c r="H122" i="61"/>
  <c r="H121" i="61"/>
  <c r="H265" i="61" l="1"/>
  <c r="G182" i="42" s="1"/>
  <c r="F131" i="42"/>
  <c r="D70" i="42"/>
  <c r="H120" i="61"/>
  <c r="H119" i="61"/>
  <c r="H143" i="42"/>
  <c r="H151" i="42"/>
  <c r="H131" i="61"/>
  <c r="H132" i="61"/>
  <c r="F130" i="61"/>
  <c r="H130" i="61" s="1"/>
  <c r="F129" i="61"/>
  <c r="H129" i="61" s="1"/>
  <c r="F128" i="61"/>
  <c r="H128" i="61" s="1"/>
  <c r="D72" i="42"/>
  <c r="H133" i="61"/>
  <c r="F65" i="42"/>
  <c r="F34" i="42"/>
  <c r="F33" i="42" s="1"/>
  <c r="F125" i="42"/>
  <c r="D107" i="42"/>
  <c r="F104" i="42"/>
  <c r="F102" i="42"/>
  <c r="D83" i="42"/>
  <c r="D80" i="42"/>
  <c r="D121" i="42"/>
  <c r="F117" i="42"/>
  <c r="F114" i="42"/>
  <c r="F111" i="42"/>
  <c r="F109" i="42"/>
  <c r="F108" i="42" s="1"/>
  <c r="F106" i="42"/>
  <c r="F107" i="42" s="1"/>
  <c r="F95" i="42"/>
  <c r="F94" i="42"/>
  <c r="D77" i="42"/>
  <c r="H92" i="61"/>
  <c r="H93" i="61" s="1"/>
  <c r="G77" i="42" s="1"/>
  <c r="F74" i="42"/>
  <c r="D87" i="42"/>
  <c r="H87" i="61"/>
  <c r="H86" i="61"/>
  <c r="H85" i="61"/>
  <c r="F87" i="42"/>
  <c r="F86" i="42"/>
  <c r="H86" i="42" s="1"/>
  <c r="F85" i="42"/>
  <c r="F84" i="42"/>
  <c r="F76" i="42"/>
  <c r="F77" i="42" s="1"/>
  <c r="F82" i="42"/>
  <c r="F83" i="42" s="1"/>
  <c r="F81" i="42"/>
  <c r="F75" i="42"/>
  <c r="F71" i="42"/>
  <c r="H71" i="42" s="1"/>
  <c r="F69" i="42"/>
  <c r="H63" i="42"/>
  <c r="D34" i="42"/>
  <c r="H15" i="42"/>
  <c r="H160" i="61"/>
  <c r="H159" i="61"/>
  <c r="D48" i="42"/>
  <c r="H176" i="61"/>
  <c r="H175" i="61"/>
  <c r="H74" i="42" l="1"/>
  <c r="F57" i="42"/>
  <c r="H161" i="61"/>
  <c r="G33" i="42" s="1"/>
  <c r="H177" i="61"/>
  <c r="G48" i="42" s="1"/>
  <c r="H48" i="42" s="1"/>
  <c r="H47" i="42" s="1"/>
  <c r="C16" i="57" s="1"/>
  <c r="H73" i="42"/>
  <c r="H134" i="61"/>
  <c r="G72" i="42" s="1"/>
  <c r="H72" i="42" s="1"/>
  <c r="H88" i="61"/>
  <c r="G87" i="42" s="1"/>
  <c r="H87" i="42" s="1"/>
  <c r="G121" i="42"/>
  <c r="G107" i="42"/>
  <c r="G83" i="42"/>
  <c r="G80" i="42"/>
  <c r="H77" i="42"/>
  <c r="F129" i="42" l="1"/>
  <c r="H129" i="42" s="1"/>
  <c r="H182" i="42"/>
  <c r="D20" i="42"/>
  <c r="H32" i="42" l="1"/>
  <c r="D217" i="42"/>
  <c r="D218" i="42"/>
  <c r="H307" i="61"/>
  <c r="H306" i="61"/>
  <c r="D214" i="42"/>
  <c r="H51" i="61"/>
  <c r="H50" i="61"/>
  <c r="A42" i="61"/>
  <c r="H46" i="61"/>
  <c r="H47" i="61"/>
  <c r="H48" i="61"/>
  <c r="H49" i="61"/>
  <c r="H52" i="61"/>
  <c r="H53" i="61"/>
  <c r="F11" i="42"/>
  <c r="F218" i="42" s="1"/>
  <c r="F17" i="42"/>
  <c r="F18" i="42" s="1"/>
  <c r="H308" i="61" l="1"/>
  <c r="G218" i="42" s="1"/>
  <c r="H54" i="61"/>
  <c r="G214" i="42" s="1"/>
  <c r="D64" i="42" l="1"/>
  <c r="F30" i="42"/>
  <c r="H211" i="42"/>
  <c r="A57" i="61"/>
  <c r="A211" i="61"/>
  <c r="G14" i="42"/>
  <c r="D179" i="42"/>
  <c r="H256" i="61"/>
  <c r="H255" i="61"/>
  <c r="H254" i="61"/>
  <c r="D177" i="42"/>
  <c r="H249" i="61"/>
  <c r="H248" i="61"/>
  <c r="H247" i="61"/>
  <c r="D178" i="42"/>
  <c r="H242" i="61"/>
  <c r="H241" i="61"/>
  <c r="H240" i="61"/>
  <c r="F176" i="42"/>
  <c r="D176" i="42"/>
  <c r="H235" i="61"/>
  <c r="H234" i="61"/>
  <c r="H233" i="61"/>
  <c r="H257" i="61" l="1"/>
  <c r="G179" i="42" s="1"/>
  <c r="H179" i="42" s="1"/>
  <c r="H250" i="61"/>
  <c r="G177" i="42" s="1"/>
  <c r="H177" i="42" s="1"/>
  <c r="H243" i="61"/>
  <c r="G178" i="42" s="1"/>
  <c r="H178" i="42" s="1"/>
  <c r="H236" i="61"/>
  <c r="G176" i="42" s="1"/>
  <c r="H176" i="42" s="1"/>
  <c r="A302" i="61" l="1"/>
  <c r="H106" i="61"/>
  <c r="H105" i="61"/>
  <c r="H33" i="42"/>
  <c r="H191" i="42"/>
  <c r="H107" i="61" l="1"/>
  <c r="G208" i="42" s="1"/>
  <c r="H171" i="42" l="1"/>
  <c r="H172" i="42"/>
  <c r="H173" i="42"/>
  <c r="H174" i="42"/>
  <c r="H175" i="42"/>
  <c r="H180" i="42"/>
  <c r="H181" i="42"/>
  <c r="H184" i="42"/>
  <c r="H170" i="42"/>
  <c r="H169" i="42"/>
  <c r="H168" i="42"/>
  <c r="H167" i="42"/>
  <c r="H166" i="42"/>
  <c r="H165" i="42"/>
  <c r="H164" i="42"/>
  <c r="H163" i="42"/>
  <c r="H162" i="42"/>
  <c r="D131" i="42" l="1"/>
  <c r="H112" i="61"/>
  <c r="H111" i="61"/>
  <c r="F54" i="42"/>
  <c r="F53" i="42"/>
  <c r="H12" i="42"/>
  <c r="H113" i="61" l="1"/>
  <c r="G131" i="42" s="1"/>
  <c r="H131" i="42" s="1"/>
  <c r="H46" i="42"/>
  <c r="H30" i="42"/>
  <c r="H31" i="42"/>
  <c r="H19" i="42"/>
  <c r="H212" i="42"/>
  <c r="H210" i="42"/>
  <c r="H202" i="42"/>
  <c r="H45" i="42"/>
  <c r="H44" i="42"/>
  <c r="H43" i="42"/>
  <c r="H42" i="42"/>
  <c r="H159" i="42"/>
  <c r="H161" i="42"/>
  <c r="P15" i="57"/>
  <c r="P20" i="57"/>
  <c r="P21" i="57"/>
  <c r="P22" i="57"/>
  <c r="G100" i="42" l="1"/>
  <c r="G104" i="42" s="1"/>
  <c r="G106" i="42" s="1"/>
  <c r="G109" i="42" s="1"/>
  <c r="G97" i="42"/>
  <c r="G99" i="42" s="1"/>
  <c r="G62" i="42"/>
  <c r="G68" i="42" s="1"/>
  <c r="H38" i="42" l="1"/>
  <c r="F79" i="42" l="1"/>
  <c r="F78" i="42" l="1"/>
  <c r="F80" i="42"/>
  <c r="H80" i="42" s="1"/>
  <c r="H137" i="42"/>
  <c r="A6" i="61" l="1"/>
  <c r="A8" i="61"/>
  <c r="F103" i="42"/>
  <c r="H103" i="42" s="1"/>
  <c r="H40" i="42"/>
  <c r="H29" i="42" l="1"/>
  <c r="H104" i="42"/>
  <c r="H156" i="42" l="1"/>
  <c r="H157" i="42"/>
  <c r="H206" i="42"/>
  <c r="H207" i="42"/>
  <c r="H204" i="42"/>
  <c r="F205" i="42"/>
  <c r="H205" i="42" s="1"/>
  <c r="H126" i="42"/>
  <c r="F208" i="42" l="1"/>
  <c r="H209" i="42" l="1"/>
  <c r="H208" i="42"/>
  <c r="H201" i="42" l="1"/>
  <c r="F203" i="42" l="1"/>
  <c r="H203" i="42" s="1"/>
  <c r="H200" i="42"/>
  <c r="H199" i="42"/>
  <c r="H198" i="42" l="1"/>
  <c r="H197" i="42"/>
  <c r="H196" i="42" l="1"/>
  <c r="H195" i="42" s="1"/>
  <c r="C23" i="57" s="1"/>
  <c r="F120" i="42" l="1"/>
  <c r="F119" i="42" l="1"/>
  <c r="F121" i="42"/>
  <c r="H121" i="42" s="1"/>
  <c r="F124" i="42"/>
  <c r="H124" i="42" s="1"/>
  <c r="F123" i="42"/>
  <c r="H123" i="42" s="1"/>
  <c r="F122" i="42"/>
  <c r="H122" i="42" s="1"/>
  <c r="H120" i="42"/>
  <c r="F116" i="42"/>
  <c r="H116" i="42" s="1"/>
  <c r="H114" i="42"/>
  <c r="F110" i="42"/>
  <c r="H110" i="42" s="1"/>
  <c r="F105" i="42"/>
  <c r="H80" i="61"/>
  <c r="H79" i="61"/>
  <c r="H78" i="61"/>
  <c r="H77" i="61"/>
  <c r="F101" i="42"/>
  <c r="H101" i="42" s="1"/>
  <c r="F99" i="42"/>
  <c r="F97" i="42"/>
  <c r="F93" i="42"/>
  <c r="F96" i="42"/>
  <c r="H96" i="42" s="1"/>
  <c r="H83" i="42"/>
  <c r="H71" i="61"/>
  <c r="H88" i="42"/>
  <c r="H97" i="42" l="1"/>
  <c r="F98" i="42"/>
  <c r="H98" i="42" s="1"/>
  <c r="H99" i="42"/>
  <c r="F100" i="42"/>
  <c r="H100" i="42" s="1"/>
  <c r="H117" i="42"/>
  <c r="H81" i="61"/>
  <c r="H106" i="42"/>
  <c r="H119" i="42"/>
  <c r="H111" i="42"/>
  <c r="F113" i="42"/>
  <c r="H113" i="42" s="1"/>
  <c r="H76" i="42"/>
  <c r="H109" i="42"/>
  <c r="H107" i="42"/>
  <c r="H102" i="42"/>
  <c r="H85" i="42"/>
  <c r="H82" i="42"/>
  <c r="G105" i="42" l="1"/>
  <c r="H105" i="42" s="1"/>
  <c r="G108" i="42"/>
  <c r="H108" i="42" s="1"/>
  <c r="H118" i="61" l="1"/>
  <c r="H117" i="61"/>
  <c r="H124" i="61" l="1"/>
  <c r="G70" i="42" s="1"/>
  <c r="H216" i="42"/>
  <c r="H70" i="42" l="1"/>
  <c r="H190" i="42"/>
  <c r="H58" i="42"/>
  <c r="H128" i="42"/>
  <c r="H127" i="42"/>
  <c r="H95" i="42" l="1"/>
  <c r="H94" i="42"/>
  <c r="H93" i="42"/>
  <c r="H277" i="61" l="1"/>
  <c r="H276" i="61"/>
  <c r="H68" i="42"/>
  <c r="H69" i="42"/>
  <c r="H62" i="42"/>
  <c r="H61" i="42"/>
  <c r="H65" i="42" l="1"/>
  <c r="F66" i="42"/>
  <c r="H66" i="42" s="1"/>
  <c r="H278" i="61"/>
  <c r="G189" i="42" s="1"/>
  <c r="H189" i="42" s="1"/>
  <c r="L52" i="42" l="1"/>
  <c r="H186" i="42" l="1"/>
  <c r="H155" i="42"/>
  <c r="H158" i="42"/>
  <c r="H28" i="42"/>
  <c r="H154" i="42" l="1"/>
  <c r="H153" i="42" s="1"/>
  <c r="C20" i="57" s="1"/>
  <c r="H192" i="42"/>
  <c r="H138" i="42"/>
  <c r="H188" i="42" l="1"/>
  <c r="C22" i="57" s="1"/>
  <c r="G34" i="42"/>
  <c r="H34" i="42" s="1"/>
  <c r="H27" i="42" s="1"/>
  <c r="C14" i="57" s="1"/>
  <c r="H187" i="42"/>
  <c r="H185" i="42" s="1"/>
  <c r="C21" i="57" s="1"/>
  <c r="H144" i="42" l="1"/>
  <c r="H53" i="42" l="1"/>
  <c r="H39" i="42"/>
  <c r="H72" i="61" l="1"/>
  <c r="H70" i="61"/>
  <c r="H69" i="61"/>
  <c r="H67" i="42" l="1"/>
  <c r="H73" i="61"/>
  <c r="H60" i="42"/>
  <c r="G78" i="42" l="1"/>
  <c r="H78" i="42" s="1"/>
  <c r="G89" i="42"/>
  <c r="H89" i="42" s="1"/>
  <c r="G84" i="42"/>
  <c r="H84" i="42" s="1"/>
  <c r="G75" i="42"/>
  <c r="H75" i="42" s="1"/>
  <c r="G81" i="42"/>
  <c r="H81" i="42" s="1"/>
  <c r="F139" i="42"/>
  <c r="H146" i="42"/>
  <c r="H147" i="42"/>
  <c r="H148" i="42"/>
  <c r="H149" i="42"/>
  <c r="F150" i="42"/>
  <c r="M112" i="57" l="1"/>
  <c r="M7" i="57"/>
  <c r="M67" i="57"/>
  <c r="P25" i="57"/>
  <c r="P23" i="57"/>
  <c r="P19" i="57"/>
  <c r="P18" i="57"/>
  <c r="P17" i="57"/>
  <c r="P16" i="57"/>
  <c r="P14" i="57"/>
  <c r="P13" i="57"/>
  <c r="P11" i="57"/>
  <c r="H57" i="42" l="1"/>
  <c r="H55" i="42"/>
  <c r="H56" i="42"/>
  <c r="E55" i="42"/>
  <c r="H125" i="42"/>
  <c r="H150" i="42"/>
  <c r="H142" i="42"/>
  <c r="H139" i="42"/>
  <c r="H145" i="42"/>
  <c r="A11" i="57"/>
  <c r="A30" i="57"/>
  <c r="B30" i="57"/>
  <c r="G64" i="42" l="1"/>
  <c r="H64" i="42" s="1"/>
  <c r="H18" i="42"/>
  <c r="H17" i="42"/>
  <c r="H14" i="42"/>
  <c r="H13" i="42" s="1"/>
  <c r="H11" i="42" l="1"/>
  <c r="H10" i="42" s="1"/>
  <c r="C11" i="57" s="1"/>
  <c r="H41" i="42"/>
  <c r="E7" i="42"/>
  <c r="H54" i="42" l="1"/>
  <c r="H52" i="42"/>
  <c r="H51" i="42" s="1"/>
  <c r="C17" i="57" s="1"/>
  <c r="H37" i="42" l="1"/>
  <c r="H36" i="42"/>
  <c r="H35" i="42" s="1"/>
  <c r="C15" i="57" s="1"/>
  <c r="H312" i="61" l="1"/>
  <c r="H313" i="61"/>
  <c r="H314" i="61" l="1"/>
  <c r="G20" i="42" s="1"/>
  <c r="H20" i="42" s="1"/>
  <c r="H16" i="42" s="1"/>
  <c r="E7" i="57"/>
  <c r="F219" i="42"/>
  <c r="H219" i="42" s="1"/>
  <c r="E8" i="61"/>
  <c r="H214" i="42"/>
  <c r="H213" i="42" s="1"/>
  <c r="C24" i="57" s="1"/>
  <c r="G8" i="61"/>
  <c r="K8" i="59"/>
  <c r="A6" i="59"/>
  <c r="A6" i="55" s="1"/>
  <c r="A8" i="59"/>
  <c r="M8" i="59"/>
  <c r="J25" i="59"/>
  <c r="K25" i="59"/>
  <c r="L25" i="59"/>
  <c r="M25" i="59"/>
  <c r="J37" i="59"/>
  <c r="K37" i="59"/>
  <c r="L37" i="59"/>
  <c r="M37" i="59"/>
  <c r="J44" i="59"/>
  <c r="K44" i="59"/>
  <c r="L44" i="59"/>
  <c r="M44" i="59"/>
  <c r="J48" i="59"/>
  <c r="K48" i="59"/>
  <c r="L48" i="59"/>
  <c r="M48" i="59"/>
  <c r="D6" i="55"/>
  <c r="A8" i="55"/>
  <c r="G8" i="55"/>
  <c r="G5" i="42"/>
  <c r="E14" i="55" s="1"/>
  <c r="A3" i="57"/>
  <c r="A63" i="57" s="1"/>
  <c r="A108" i="57" s="1"/>
  <c r="E5" i="57"/>
  <c r="E65" i="57" s="1"/>
  <c r="E110" i="57" s="1"/>
  <c r="A7" i="57"/>
  <c r="A5" i="57"/>
  <c r="A65" i="57" s="1"/>
  <c r="A110" i="57" s="1"/>
  <c r="A13" i="55"/>
  <c r="H37" i="55"/>
  <c r="C36" i="55" s="1"/>
  <c r="C39" i="55" s="1"/>
  <c r="C31" i="55"/>
  <c r="C27" i="55"/>
  <c r="P8" i="57"/>
  <c r="D8" i="55"/>
  <c r="E24" i="57" l="1"/>
  <c r="F24" i="57" s="1"/>
  <c r="C46" i="55"/>
  <c r="N24" i="57"/>
  <c r="L24" i="57"/>
  <c r="J24" i="57"/>
  <c r="H24" i="57"/>
  <c r="C12" i="57"/>
  <c r="E12" i="57" s="1"/>
  <c r="F12" i="57" s="1"/>
  <c r="E21" i="57"/>
  <c r="F21" i="57" s="1"/>
  <c r="E22" i="57"/>
  <c r="F22" i="57" s="1"/>
  <c r="E20" i="57"/>
  <c r="F20" i="57" s="1"/>
  <c r="E16" i="57"/>
  <c r="F16" i="57" s="1"/>
  <c r="H16" i="57" s="1"/>
  <c r="E14" i="57"/>
  <c r="F14" i="57" s="1"/>
  <c r="G217" i="42"/>
  <c r="H217" i="42" s="1"/>
  <c r="J50" i="59"/>
  <c r="E23" i="57"/>
  <c r="F23" i="57" s="1"/>
  <c r="A67" i="57"/>
  <c r="E67" i="57"/>
  <c r="L50" i="59"/>
  <c r="K50" i="59"/>
  <c r="M50" i="59"/>
  <c r="H218" i="42"/>
  <c r="H140" i="42"/>
  <c r="N12" i="57" l="1"/>
  <c r="H12" i="57"/>
  <c r="L12" i="57"/>
  <c r="J12" i="57"/>
  <c r="E13" i="57"/>
  <c r="F13" i="57" s="1"/>
  <c r="H215" i="42"/>
  <c r="C25" i="57" s="1"/>
  <c r="J21" i="57"/>
  <c r="L21" i="57"/>
  <c r="N21" i="57"/>
  <c r="H21" i="57"/>
  <c r="J20" i="57"/>
  <c r="N20" i="57"/>
  <c r="H20" i="57"/>
  <c r="L20" i="57"/>
  <c r="H22" i="57"/>
  <c r="L22" i="57"/>
  <c r="N22" i="57"/>
  <c r="J22" i="57"/>
  <c r="A112" i="57"/>
  <c r="E112" i="57"/>
  <c r="E11" i="57"/>
  <c r="H141" i="42"/>
  <c r="H133" i="42" s="1"/>
  <c r="C19" i="57" s="1"/>
  <c r="E19" i="57" s="1"/>
  <c r="F19" i="57" s="1"/>
  <c r="L19" i="57" s="1"/>
  <c r="H19" i="57" l="1"/>
  <c r="F11" i="57"/>
  <c r="N19" i="57"/>
  <c r="J19" i="57"/>
  <c r="N14" i="57"/>
  <c r="J14" i="57"/>
  <c r="L14" i="57"/>
  <c r="N23" i="57"/>
  <c r="H23" i="57"/>
  <c r="L23" i="57"/>
  <c r="J23" i="57"/>
  <c r="H14" i="57"/>
  <c r="N11" i="57" l="1"/>
  <c r="J11" i="57"/>
  <c r="H11" i="57"/>
  <c r="L11" i="57"/>
  <c r="E25" i="57"/>
  <c r="F25" i="57" s="1"/>
  <c r="L25" i="57" s="1"/>
  <c r="N13" i="57"/>
  <c r="N25" i="57" l="1"/>
  <c r="J25" i="57"/>
  <c r="H25" i="57"/>
  <c r="L13" i="57"/>
  <c r="H13" i="57"/>
  <c r="J13" i="57"/>
  <c r="N16" i="57" l="1"/>
  <c r="L16" i="57"/>
  <c r="J16" i="57"/>
  <c r="H79" i="42"/>
  <c r="H59" i="42" s="1"/>
  <c r="C18" i="57" l="1"/>
  <c r="E18" i="57" s="1"/>
  <c r="F18" i="57" s="1"/>
  <c r="H220" i="42"/>
  <c r="E17" i="57"/>
  <c r="F17" i="57" s="1"/>
  <c r="J18" i="57" l="1"/>
  <c r="L18" i="57"/>
  <c r="H18" i="57"/>
  <c r="N18" i="57"/>
  <c r="L17" i="57"/>
  <c r="J17" i="57"/>
  <c r="H17" i="57"/>
  <c r="N17" i="57"/>
  <c r="E15" i="57" l="1"/>
  <c r="C26" i="57"/>
  <c r="F15" i="57" l="1"/>
  <c r="J15" i="57" s="1"/>
  <c r="J26" i="57" s="1"/>
  <c r="E26" i="57"/>
  <c r="L15" i="57" l="1"/>
  <c r="L26" i="57" s="1"/>
  <c r="N15" i="57"/>
  <c r="N26" i="57" s="1"/>
  <c r="F26" i="57"/>
  <c r="H15" i="57"/>
  <c r="H26" i="57" s="1"/>
  <c r="M26" i="57" l="1"/>
  <c r="M30" i="57" s="1"/>
  <c r="G26" i="57"/>
  <c r="G30" i="57" s="1"/>
  <c r="I26" i="57"/>
  <c r="I30" i="57" s="1"/>
  <c r="K26" i="57"/>
  <c r="K30" i="57" s="1"/>
  <c r="P30" i="57" l="1"/>
  <c r="P26" i="57"/>
  <c r="C30" i="57" l="1"/>
  <c r="C32" i="57" s="1"/>
  <c r="E30" i="57" l="1"/>
  <c r="F30" i="57" s="1"/>
  <c r="H221" i="42"/>
  <c r="H222" i="42" s="1"/>
  <c r="L30" i="57"/>
  <c r="L32" i="57" s="1"/>
  <c r="J30" i="57"/>
  <c r="J32" i="57" s="1"/>
  <c r="N30" i="57"/>
  <c r="N32" i="57" s="1"/>
  <c r="H30" i="57"/>
  <c r="H32" i="57" s="1"/>
  <c r="C34" i="57"/>
  <c r="E32" i="57"/>
  <c r="I134" i="42" l="1"/>
  <c r="I135" i="42"/>
  <c r="I136" i="42"/>
  <c r="I182" i="42"/>
  <c r="I194" i="42"/>
  <c r="I193" i="42"/>
  <c r="I212" i="42"/>
  <c r="I200" i="42"/>
  <c r="I186" i="42"/>
  <c r="I174" i="42"/>
  <c r="I162" i="42"/>
  <c r="I150" i="42"/>
  <c r="I139" i="42"/>
  <c r="I126" i="42"/>
  <c r="I114" i="42"/>
  <c r="I102" i="42"/>
  <c r="I90" i="42"/>
  <c r="I78" i="42"/>
  <c r="I66" i="42"/>
  <c r="I54" i="42"/>
  <c r="I42" i="42"/>
  <c r="I30" i="42"/>
  <c r="I40" i="42"/>
  <c r="I183" i="42"/>
  <c r="I147" i="42"/>
  <c r="I123" i="42"/>
  <c r="I87" i="42"/>
  <c r="I51" i="42"/>
  <c r="I27" i="42"/>
  <c r="I50" i="42"/>
  <c r="I219" i="42"/>
  <c r="I169" i="42"/>
  <c r="I157" i="42"/>
  <c r="I109" i="42"/>
  <c r="I61" i="42"/>
  <c r="I37" i="42"/>
  <c r="I192" i="42"/>
  <c r="I132" i="42"/>
  <c r="I84" i="42"/>
  <c r="I36" i="42"/>
  <c r="I191" i="42"/>
  <c r="I131" i="42"/>
  <c r="I71" i="42"/>
  <c r="I216" i="42"/>
  <c r="I143" i="42"/>
  <c r="I58" i="42"/>
  <c r="I189" i="42"/>
  <c r="I117" i="42"/>
  <c r="I57" i="42"/>
  <c r="I188" i="42"/>
  <c r="I116" i="42"/>
  <c r="I80" i="42"/>
  <c r="I213" i="42"/>
  <c r="I140" i="42"/>
  <c r="I91" i="42"/>
  <c r="I31" i="42"/>
  <c r="G7" i="57"/>
  <c r="I211" i="42"/>
  <c r="I199" i="42"/>
  <c r="I185" i="42"/>
  <c r="I173" i="42"/>
  <c r="I161" i="42"/>
  <c r="I149" i="42"/>
  <c r="I138" i="42"/>
  <c r="I125" i="42"/>
  <c r="I113" i="42"/>
  <c r="I101" i="42"/>
  <c r="I89" i="42"/>
  <c r="I77" i="42"/>
  <c r="I65" i="42"/>
  <c r="I53" i="42"/>
  <c r="I41" i="42"/>
  <c r="I29" i="42"/>
  <c r="I52" i="42"/>
  <c r="I209" i="42"/>
  <c r="I197" i="42"/>
  <c r="I171" i="42"/>
  <c r="I111" i="42"/>
  <c r="I75" i="42"/>
  <c r="I39" i="42"/>
  <c r="I62" i="42"/>
  <c r="I38" i="42"/>
  <c r="I195" i="42"/>
  <c r="I121" i="42"/>
  <c r="I85" i="42"/>
  <c r="I25" i="42"/>
  <c r="I206" i="42"/>
  <c r="I156" i="42"/>
  <c r="I108" i="42"/>
  <c r="I60" i="42"/>
  <c r="I205" i="42"/>
  <c r="I83" i="42"/>
  <c r="I204" i="42"/>
  <c r="I118" i="42"/>
  <c r="I46" i="42"/>
  <c r="I215" i="42"/>
  <c r="I129" i="42"/>
  <c r="I69" i="42"/>
  <c r="I176" i="42"/>
  <c r="I104" i="42"/>
  <c r="I201" i="42"/>
  <c r="I127" i="42"/>
  <c r="I79" i="42"/>
  <c r="I210" i="42"/>
  <c r="I198" i="42"/>
  <c r="I184" i="42"/>
  <c r="I172" i="42"/>
  <c r="I160" i="42"/>
  <c r="I148" i="42"/>
  <c r="I137" i="42"/>
  <c r="I124" i="42"/>
  <c r="I112" i="42"/>
  <c r="I100" i="42"/>
  <c r="I88" i="42"/>
  <c r="I76" i="42"/>
  <c r="I64" i="42"/>
  <c r="I28" i="42"/>
  <c r="I159" i="42"/>
  <c r="I99" i="42"/>
  <c r="I63" i="42"/>
  <c r="I74" i="42"/>
  <c r="I207" i="42"/>
  <c r="I145" i="42"/>
  <c r="I97" i="42"/>
  <c r="I49" i="42"/>
  <c r="I168" i="42"/>
  <c r="I120" i="42"/>
  <c r="I72" i="42"/>
  <c r="I217" i="42"/>
  <c r="I119" i="42"/>
  <c r="I47" i="42"/>
  <c r="I166" i="42"/>
  <c r="I106" i="42"/>
  <c r="I177" i="42"/>
  <c r="I142" i="42"/>
  <c r="I33" i="42"/>
  <c r="I164" i="42"/>
  <c r="I92" i="42"/>
  <c r="I32" i="42"/>
  <c r="I151" i="42"/>
  <c r="I43" i="42"/>
  <c r="I208" i="42"/>
  <c r="I196" i="42"/>
  <c r="I170" i="42"/>
  <c r="I158" i="42"/>
  <c r="I146" i="42"/>
  <c r="I122" i="42"/>
  <c r="I110" i="42"/>
  <c r="I98" i="42"/>
  <c r="I86" i="42"/>
  <c r="I26" i="42"/>
  <c r="I181" i="42"/>
  <c r="I133" i="42"/>
  <c r="I73" i="42"/>
  <c r="I218" i="42"/>
  <c r="I144" i="42"/>
  <c r="I96" i="42"/>
  <c r="I48" i="42"/>
  <c r="I179" i="42"/>
  <c r="I155" i="42"/>
  <c r="I107" i="42"/>
  <c r="I59" i="42"/>
  <c r="I190" i="42"/>
  <c r="I130" i="42"/>
  <c r="I82" i="42"/>
  <c r="I203" i="42"/>
  <c r="I153" i="42"/>
  <c r="I105" i="42"/>
  <c r="I45" i="42"/>
  <c r="I202" i="42"/>
  <c r="I128" i="42"/>
  <c r="I44" i="42"/>
  <c r="I175" i="42"/>
  <c r="I115" i="42"/>
  <c r="I55" i="42"/>
  <c r="I180" i="42"/>
  <c r="I24" i="42"/>
  <c r="I167" i="42"/>
  <c r="I95" i="42"/>
  <c r="I35" i="42"/>
  <c r="I178" i="42"/>
  <c r="I154" i="42"/>
  <c r="I94" i="42"/>
  <c r="I34" i="42"/>
  <c r="I165" i="42"/>
  <c r="I93" i="42"/>
  <c r="I214" i="42"/>
  <c r="I141" i="42"/>
  <c r="I68" i="42"/>
  <c r="I187" i="42"/>
  <c r="I103" i="42"/>
  <c r="I70" i="42"/>
  <c r="I81" i="42"/>
  <c r="I152" i="42"/>
  <c r="I56" i="42"/>
  <c r="I163" i="42"/>
  <c r="I67" i="42"/>
  <c r="I220" i="42"/>
  <c r="I221" i="42"/>
  <c r="I20" i="42"/>
  <c r="I19" i="42"/>
  <c r="I12" i="42"/>
  <c r="I10" i="42"/>
  <c r="I13" i="42"/>
  <c r="I11" i="42"/>
  <c r="I21" i="42"/>
  <c r="I14" i="42"/>
  <c r="I22" i="42"/>
  <c r="I23" i="42"/>
  <c r="I15" i="42"/>
  <c r="I18" i="42"/>
  <c r="I17" i="42"/>
  <c r="I16" i="42"/>
  <c r="Q35" i="57"/>
  <c r="E34" i="57"/>
  <c r="F32" i="57"/>
  <c r="F34" i="57" s="1"/>
  <c r="M32" i="57"/>
  <c r="N34" i="57"/>
  <c r="R14" i="57" s="1"/>
  <c r="H34" i="57"/>
  <c r="G32" i="57"/>
  <c r="J34" i="57"/>
  <c r="R12" i="57" s="1"/>
  <c r="I32" i="57"/>
  <c r="L34" i="57"/>
  <c r="R13" i="57" s="1"/>
  <c r="K32" i="57"/>
  <c r="I222" i="42" l="1"/>
  <c r="D18" i="57"/>
  <c r="D11" i="57"/>
  <c r="D23" i="57"/>
  <c r="D19" i="57"/>
  <c r="D14" i="57"/>
  <c r="D17" i="57"/>
  <c r="G67" i="57"/>
  <c r="D12" i="57"/>
  <c r="D15" i="57"/>
  <c r="D20" i="57"/>
  <c r="J7" i="57"/>
  <c r="D24" i="57"/>
  <c r="D22" i="57"/>
  <c r="D21" i="57"/>
  <c r="D25" i="57"/>
  <c r="D16" i="57"/>
  <c r="D13" i="57"/>
  <c r="D30" i="57"/>
  <c r="D32" i="57" s="1"/>
  <c r="I34" i="57"/>
  <c r="K34" i="57"/>
  <c r="G34" i="57"/>
  <c r="G35" i="57" s="1"/>
  <c r="H35" i="57"/>
  <c r="J35" i="57" s="1"/>
  <c r="L35" i="57" s="1"/>
  <c r="N35" i="57" s="1"/>
  <c r="R35" i="57" s="1"/>
  <c r="R11" i="57"/>
  <c r="M34" i="57"/>
  <c r="P35" i="57" l="1"/>
  <c r="S11" i="57"/>
  <c r="I35" i="57"/>
  <c r="S12" i="57" s="1"/>
  <c r="D26" i="57"/>
  <c r="D34" i="57" s="1"/>
  <c r="G112" i="57"/>
  <c r="J112" i="57" s="1"/>
  <c r="J67" i="57"/>
  <c r="K35" i="57" l="1"/>
  <c r="S13" i="57" s="1"/>
  <c r="M35" i="57" l="1"/>
  <c r="S14" i="57" s="1"/>
  <c r="H341" i="61"/>
  <c r="H341" i="61" a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<sst xmlns="http://schemas.openxmlformats.org/spreadsheetml/2006/main" count="1853" uniqueCount="717">
  <si>
    <t>%</t>
  </si>
  <si>
    <t>M2</t>
  </si>
  <si>
    <t>UND</t>
  </si>
  <si>
    <t>DESCRIÇÃO</t>
  </si>
  <si>
    <t>PREÇO(R$)</t>
  </si>
  <si>
    <t>PREÇO TOTAL (R$)</t>
  </si>
  <si>
    <t>Obra:</t>
  </si>
  <si>
    <t>Endereço:</t>
  </si>
  <si>
    <t>Data:</t>
  </si>
  <si>
    <t>TOTAL:</t>
  </si>
  <si>
    <t>Área (m²):</t>
  </si>
  <si>
    <t>REFERÊNCIA</t>
  </si>
  <si>
    <t>UNIVERSIDADE FEDERAL DA BAHIA</t>
  </si>
  <si>
    <t>TOTAL</t>
  </si>
  <si>
    <t xml:space="preserve"> </t>
  </si>
  <si>
    <t>SERVIÇOS FINAIS E DESMOBILIZAÇÃO</t>
  </si>
  <si>
    <t>Área (m2):</t>
  </si>
  <si>
    <t>Valor Total (R$):</t>
  </si>
  <si>
    <t>Custo p/m2 (R$):</t>
  </si>
  <si>
    <t>CRONOGRAMA FÍSICO-FINANCEIRO</t>
  </si>
  <si>
    <t>ITEM</t>
  </si>
  <si>
    <t>SERVIÇOS</t>
  </si>
  <si>
    <t>V. ITEM (R$)</t>
  </si>
  <si>
    <t>30 Dias</t>
  </si>
  <si>
    <t>60 Dias</t>
  </si>
  <si>
    <t>Valor(R$)</t>
  </si>
  <si>
    <t>TOTAL GERAL</t>
  </si>
  <si>
    <t>TOTAL ACUMULADO</t>
  </si>
  <si>
    <t>CÓDIGO</t>
  </si>
  <si>
    <t>COM DESONERAÇÃO</t>
  </si>
  <si>
    <t>SEM DESONERAÇÃO</t>
  </si>
  <si>
    <t>HORISTA          %</t>
  </si>
  <si>
    <t>MENSALISTA      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</si>
  <si>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</si>
  <si>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</si>
  <si>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</si>
  <si>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</si>
  <si>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</si>
  <si>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</si>
  <si>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</si>
  <si>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</si>
  <si>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</si>
  <si>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</si>
  <si>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</si>
  <si>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</si>
  <si>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</si>
  <si>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</si>
  <si>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</si>
  <si>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</si>
  <si>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</si>
  <si>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</si>
  <si>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</si>
  <si>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</si>
  <si>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</si>
  <si>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</si>
  <si>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</si>
  <si>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</si>
  <si>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</si>
  <si>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</si>
  <si>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</si>
  <si>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</si>
  <si>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>DÉCIMO-TERCEIRO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</si>
  <si>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</si>
  <si>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</si>
  <si>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</si>
  <si>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</si>
  <si>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</si>
  <si>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</si>
  <si>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</si>
  <si>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</si>
  <si>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</si>
  <si>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</si>
  <si>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</si>
  <si>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</si>
  <si>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</si>
  <si>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</si>
  <si>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</si>
  <si>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</si>
  <si>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</si>
  <si>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</si>
  <si>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</si>
  <si>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</si>
  <si>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</si>
  <si>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</si>
  <si>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</si>
  <si>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</si>
  <si>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</si>
  <si>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</si>
  <si>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</si>
  <si>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</si>
  <si>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</si>
  <si>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</si>
  <si>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</si>
  <si>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REVISÃO:</t>
  </si>
  <si>
    <t>CLIENTE: UNIVERSIDADE FEDERAL DA BAHIA</t>
  </si>
  <si>
    <t>DATA: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</si>
  <si>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</si>
  <si>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</si>
  <si>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</si>
  <si>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</si>
  <si>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</si>
  <si>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</si>
  <si>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</si>
  <si>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</si>
  <si>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</si>
  <si>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Seguro e Garantia</t>
  </si>
  <si>
    <t>Riscos e Imprevistos</t>
  </si>
  <si>
    <t>Despesas Financeiras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</si>
  <si>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</si>
  <si>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</si>
  <si>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</si>
  <si>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</si>
  <si>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</si>
  <si>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</si>
  <si>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</si>
  <si>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</si>
  <si>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</si>
  <si>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</si>
  <si>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</si>
  <si>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</si>
  <si>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</si>
  <si>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</si>
  <si>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</si>
  <si>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</si>
  <si>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</si>
  <si>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</si>
  <si>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</si>
  <si>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</si>
  <si>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Total do Grupo C =</t>
  </si>
  <si>
    <t>VALORES DO BDI PARA CONSTRUÇÃO DE EDIFÍCIOS DE ACORDO COM O ACORDÃO N. 2622/2013 DO TCU</t>
  </si>
  <si>
    <t>Fórmula Para Cálculo do B.D.I</t>
  </si>
  <si>
    <t>BDI =(((1+A4+A1+A2)*(1+A3)*(1+B1))/(1-C))-1</t>
  </si>
  <si>
    <t>1º QUARTIL</t>
  </si>
  <si>
    <t>3º QUARTIL</t>
  </si>
  <si>
    <t>Bonificação Sobre Despesas indiretas (B.D.I) =</t>
  </si>
  <si>
    <t>CPRB (Contribuição Previdenciária sobre a Receita Bruta)</t>
  </si>
  <si>
    <t>SUBTOTAL   I   (SERVIÇOS)</t>
  </si>
  <si>
    <t>SUBTOTAL   II  (ADM LOCAL)</t>
  </si>
  <si>
    <t>DEPÓSITO RESCISÃO SEM JUSTA CAUSA</t>
  </si>
  <si>
    <t>QUANTIDADE</t>
  </si>
  <si>
    <t>SUPERINTENDÊNCIA DE MEIO AMBIENTE E INFRAESTRUTURA</t>
  </si>
  <si>
    <t>ATUALIZAÇÃO</t>
  </si>
  <si>
    <t>ATUALIZAÇÃO:</t>
  </si>
  <si>
    <t>Atualização</t>
  </si>
  <si>
    <t>MEMÓRIA DE CALCULO DO BDI - SERVIÇOS</t>
  </si>
  <si>
    <t>ENCARGOS SOCIAIS SOBRE A MÃO DE OBRA                                         SINAPI - CAIXA ECONÔMICA FEDERAL</t>
  </si>
  <si>
    <t>SUPERINTENDENCIA DE MEIO AMBIENTE E INFRAESTRUTURA</t>
  </si>
  <si>
    <t>B.D.I.:</t>
  </si>
  <si>
    <t>MEMÓRIA DE CÁLCULO DO BDI</t>
  </si>
  <si>
    <t>Observações:</t>
  </si>
  <si>
    <t>B.D.I.</t>
  </si>
  <si>
    <t>V.TOTAL(R$)           c/ B.D.I.</t>
  </si>
  <si>
    <t>Campus Universitário de Ondina - Salvador - Bahia</t>
  </si>
  <si>
    <t>M</t>
  </si>
  <si>
    <t>SUBTOTAL:</t>
  </si>
  <si>
    <t>6.1</t>
  </si>
  <si>
    <t>H</t>
  </si>
  <si>
    <t xml:space="preserve">ADMINISTRAÇÃO LOCAL </t>
  </si>
  <si>
    <t>MÊS</t>
  </si>
  <si>
    <t>M3</t>
  </si>
  <si>
    <t>SERVENTE COM ENCARGOS COMPLEMENTARES</t>
  </si>
  <si>
    <t>COMPOSIÇÕES DE PREÇOS</t>
  </si>
  <si>
    <t>P.UNIT</t>
  </si>
  <si>
    <t>P.TOTAL</t>
  </si>
  <si>
    <t>COMPOSIÇÃO</t>
  </si>
  <si>
    <t>INSUMO</t>
  </si>
  <si>
    <t>1.1</t>
  </si>
  <si>
    <t>2.1</t>
  </si>
  <si>
    <t>4.1</t>
  </si>
  <si>
    <t>4.2</t>
  </si>
  <si>
    <t>8.1</t>
  </si>
  <si>
    <t>MONTAGEM E DESMONTAGEM DE ANDAIME TUBULAR TIPO TORRE (EXCLUSIVE ANDAIME E LIMPEZA). AF_11/2017</t>
  </si>
  <si>
    <t>ELETRICISTA COM ENCARGOS COMPLEMENTARES</t>
  </si>
  <si>
    <t>COMPOSICAO</t>
  </si>
  <si>
    <t>AUXILIAR DE ELETRICISTA COM ENCARGOS COMPLEMENTARES</t>
  </si>
  <si>
    <t>ENCARREGADO GERAL DE OBRAS COM ENCARGOS COMPLEMENTARES</t>
  </si>
  <si>
    <t>Área (m²)</t>
  </si>
  <si>
    <t>6.2</t>
  </si>
  <si>
    <t>6.3</t>
  </si>
  <si>
    <t>6.5</t>
  </si>
  <si>
    <t>LIMPEZA GERAL</t>
  </si>
  <si>
    <t>6.6</t>
  </si>
  <si>
    <t>COEF</t>
  </si>
  <si>
    <t>PAVIMENTAÇÃO</t>
  </si>
  <si>
    <t>ENCERAMENTO DE PISO DE ALTA RESISTÊNCIA (NOVO OU EXISTENTE)</t>
  </si>
  <si>
    <t>PINTURA</t>
  </si>
  <si>
    <t>ESQUADRIAS</t>
  </si>
  <si>
    <t>LOUÇAS E METAIS</t>
  </si>
  <si>
    <t>6.7</t>
  </si>
  <si>
    <t>INSTALAÇÕES ELÉTRICAS</t>
  </si>
  <si>
    <t>CABEAMENTO ESTRUTURADO</t>
  </si>
  <si>
    <t>FECHAMENTOS</t>
  </si>
  <si>
    <t>POLIMENTO DE PISO DE ALTA RESISTÊNCIA ( EXISTENTE)</t>
  </si>
  <si>
    <t>KG</t>
  </si>
  <si>
    <t>PEDREIRO COM ENCARGOS COMPLEMENTARES</t>
  </si>
  <si>
    <t>88316</t>
  </si>
  <si>
    <t>MOBILIZAÇÃO E SERVIÇOS PRELIMINARES</t>
  </si>
  <si>
    <t>2.2</t>
  </si>
  <si>
    <t>00010527</t>
  </si>
  <si>
    <t>LOCACAO DE ANDAIME METALICO TUBULAR DE ENCAIXE, TIPO DE TORRE, COM LARGURA DE 1 ATE 1,5 M E ALTURA DE *1,00* M</t>
  </si>
  <si>
    <t>M/MÊS</t>
  </si>
  <si>
    <t>97064</t>
  </si>
  <si>
    <t>00010776</t>
  </si>
  <si>
    <t>LOCACAO DE CONTAINER 2,30 X 6,00 M, ALT. 2,50 M, PARA ESCRITORIO, SEM DIVISORIAS INTERNAS E SEM SANITARIO-ALMOXARIFADO</t>
  </si>
  <si>
    <t>CARPINTEIRO DE FORMAS COM ENCARGOS COMPLEMENTARES</t>
  </si>
  <si>
    <t>93565</t>
  </si>
  <si>
    <t>CARPINTEIRO DE ESQUADRIA COM ENCARGOS COMPLEMENTARES</t>
  </si>
  <si>
    <t xml:space="preserve">AJUDANTE DE CARPINTEIRO COM ENCARGOS COMPLEMENTARES </t>
  </si>
  <si>
    <t>AJUDANTE DE PEDREIRO COM ENCARGOS COMPLEMENTARES</t>
  </si>
  <si>
    <t>ENCANADOR OU BOMBEIRO HIDRÁULICO COM ENCARGOS COMPLEMENTARES</t>
  </si>
  <si>
    <t>SERRALHEIRO COM ENCARGOS COMPLEMENTARES</t>
  </si>
  <si>
    <t>AUXILIAR DE SERRALHEIRO COM ENCARGOS COMPLEMENTARES</t>
  </si>
  <si>
    <t>88485</t>
  </si>
  <si>
    <t xml:space="preserve">APLICAÇÃO DE FUNDO SELADOR ACRÍLICO EM PAREDES, UMA DEMÃO.  </t>
  </si>
  <si>
    <t>88489</t>
  </si>
  <si>
    <t xml:space="preserve">APLICAÇÃO MANUAL DE PINTURA COM TINTA LÁTEX ACRÍLICA EM PAREDES, DUAS DEMÃOS      </t>
  </si>
  <si>
    <t>PINTOR COM ENCARGOS COMPLEMENTARES</t>
  </si>
  <si>
    <t>90 Dias</t>
  </si>
  <si>
    <t>120 Dias</t>
  </si>
  <si>
    <t>100867</t>
  </si>
  <si>
    <t>BARRA DE APOIO RETA, EM ACO INOX POLIDO, COMPRIMENTO 70 CM, FIXADA NA PAREDE - FORNECIMENTO E INSTALAÇÃO. AF_01/2020</t>
  </si>
  <si>
    <t>BARRA DE APOIO RETA, EM ACO INOX POLIDO, COMPRIMENTO 80 CM, FIXADA NA PAREDE - FORNECIMENTO E INSTALAÇÃO. AF_01/2020</t>
  </si>
  <si>
    <t>PRATELEIRA EM GRANITO CINZA ANDORINHA OU SIMILAR, ESP= 2CM  (sanit. acess)</t>
  </si>
  <si>
    <t>ESPELHO DE CRISTAL 4MM COM MOLDURA DE ALUMÍNIO</t>
  </si>
  <si>
    <t>PINTURA FUNDO NIVELADOR ALQUÍDICO BRANCO EM MADEIRA. AF_01/2021</t>
  </si>
  <si>
    <t>PINTURA COM TINTA ALQUÍDICA DE FUNDO (TIPO ZARCÃO) APLICADA A ROLO OU PINCEL SOBRE SUPERFÍCIES METÁLICAS (EXCETO PERFIL) EXECUTADO EM OBRA (POR DEMÃO). AF_01/2020 ( grade de ferro para esquadria)</t>
  </si>
  <si>
    <t>BUCHA NYLON S-6 C/ PARAFUSO ACO ZINC CAB CHATA ROSCA SOBERBA 4,2 X 45MM</t>
  </si>
  <si>
    <t>Prazo estimado (meses):</t>
  </si>
  <si>
    <t>104162</t>
  </si>
  <si>
    <t>PISO EM GRANILITE, MARMORITE OU GRANITINA EM AMBIENTES INTERNOS, COM ESPESSURA DE 8MM, INCLUSO MISTURA EM BETONEIRA, COLOCAÇÃO DE JUNTAS, APLICAÇÃO DO PISO, 4 POLIMENTOS COM POLITRIZ, ESTUCAMENTO, SELADOR E CERA</t>
  </si>
  <si>
    <t>DISPENSER PARA TOALHA INTERFOLHADA</t>
  </si>
  <si>
    <t>DISPENSER PARA SABONETE LÍQUIDO</t>
  </si>
  <si>
    <t>CABIDE EM AÇO INOX, DECA 2060 C40, ACABAMENTO CROMADO OU SIMILAR</t>
  </si>
  <si>
    <t>COTAÇÃO</t>
  </si>
  <si>
    <t>M²</t>
  </si>
  <si>
    <t>LIXAMENTO DE MADEIRA PARA APLICAÇÃO DE FUNDO OU PINTURA. AF_01/2021</t>
  </si>
  <si>
    <t>APLICAÇÃO MASSA ACRÍLICA PARA MADEIRA, PARA PINTURA COM TINTA DE ACABAMENTO</t>
  </si>
  <si>
    <t>88495</t>
  </si>
  <si>
    <t>EMASSAMENTO COM MASSA LÁTEX, APLICAÇÃO EM PAREDE, UMA DEMÃO, LIXAMENTO MANUAL. AF_04/2023</t>
  </si>
  <si>
    <t>LIXEIRA EM AÇO INOX COM ARO, BRINOX, REF 3033/205, d=30CM, h=60CM, CAPACIDADE = 40,5L, OU SIMILAR</t>
  </si>
  <si>
    <t>12.1</t>
  </si>
  <si>
    <t>COBOGÓ DE CONCRETO 30X30X09CM MODELO TRIÂNGULO MARCA -  INOVA ARTEFATOS</t>
  </si>
  <si>
    <t>REGISTRO DE GAVETA BRUTO, LATÃO, ROSCÁVEL, 1 1/2" - FORNECIMENTO E INSTALAÇÃO. AF_08/2021</t>
  </si>
  <si>
    <t>PT</t>
  </si>
  <si>
    <t>REVISÃO DE PONTO DE LUZ TIPO 1, EM TETO OU PAREDE</t>
  </si>
  <si>
    <t>REVISÃO DE PONTO DE INTERRUPTOR COM REPOSIÇÃO DO INTERRUPTOR E FIAÇÃO.</t>
  </si>
  <si>
    <t>PLOTAGEM DE ADESIVO VINIL EM LETREIRO</t>
  </si>
  <si>
    <t>10.2</t>
  </si>
  <si>
    <t>REVISÃO DE PONTO DE TOMADA DE FORÇA TIPO 1</t>
  </si>
  <si>
    <t>FORRO DE GESSO ACARTONADO , COR BRANCA , PLACA 1243X618MM, MARCA GYPSUM, MODELO FGE, OU SIMILAR, INSTALADO</t>
  </si>
  <si>
    <t>BANCADAS</t>
  </si>
  <si>
    <t>REMOÇÃO E REASSENTAMENTO DE BANCADA DE MÁRMORE ( OU GRANITO)</t>
  </si>
  <si>
    <t xml:space="preserve">Cobogó Triangulo 30x30x9cm </t>
  </si>
  <si>
    <r>
      <t xml:space="preserve">KIT DE PORTA DE MADEIRA PARA PINTURA, SEMI-OCA (LEVE OU MÉDIA), PADRÃO MÉDIO, 90X210CM, ESPESSURA DE 3,5CM , ITENS INCLUSOS: DOBRADIÇAS, MONTAGEM E INSTALAÇÃO DO BATENTE, FECHADURA COM EXECUÇÃO DO FURO - FORNECIMENTO E INSTALAÇÃO </t>
    </r>
    <r>
      <rPr>
        <b/>
        <sz val="14"/>
        <color indexed="8"/>
        <rFont val="Arial Narrow"/>
        <family val="2"/>
      </rPr>
      <t>(P03)</t>
    </r>
  </si>
  <si>
    <r>
      <t xml:space="preserve">KIT DE PORTA DE MADEIRA PARA PINTURA, SEMI-OCA (LEVE OU MÉDIA), PADRÃO MÉDIO, 80X210CM, ESPESSURA DE 3,5CM, ITENS INCLUSOS: DOBRADIÇAS, MONTAGEM E INSTALAÇÃO DO BATENTE, FECHADURA COM EXECUÇÃO DO FURO - FORNECIMENTO E INSTALAÇÃO. AF_12/2019 </t>
    </r>
    <r>
      <rPr>
        <b/>
        <sz val="14"/>
        <color indexed="8"/>
        <rFont val="Arial Narrow"/>
        <family val="2"/>
      </rPr>
      <t>(P02)</t>
    </r>
  </si>
  <si>
    <r>
      <t>KIT DE PORTA DE MADEIRA PARA PINTURA, SEMI-OCA (LEVE OU MÉDIA), PADRÃO MÉDIO, 90X210CM, ESPESSURA DE 3,5CM , ITENS INCLUSOS: DOBRADIÇAS, MONTAGEM E INSTALAÇÃO DO BATENTE, FECHADURA COM EXECUÇÃO DO FURO - FORNECIMENTO E INSTALAÇÃO</t>
    </r>
    <r>
      <rPr>
        <b/>
        <sz val="14"/>
        <color indexed="8"/>
        <rFont val="Arial Narrow"/>
        <family val="2"/>
      </rPr>
      <t xml:space="preserve"> (P03-V)</t>
    </r>
  </si>
  <si>
    <r>
      <t>VIDRO LISO INCOLOR 4MM - VER. 01_10/2021</t>
    </r>
    <r>
      <rPr>
        <b/>
        <sz val="14"/>
        <color indexed="8"/>
        <rFont val="Arial Narrow"/>
        <family val="2"/>
      </rPr>
      <t xml:space="preserve"> (J01)</t>
    </r>
  </si>
  <si>
    <t>CORRIMÃO EM TUBO DE AÇO GALVANIZADO (ALTURA= 0,90M), COM BARRAS VERTICAIS A CADA 2,00 (2''), BARRA HORIZONTAL INTERMEDIÁRIA (1 1/2') E BARRA HORIZONTAL SUPERIOR (1 1/2)</t>
  </si>
  <si>
    <t>SUPORTE METÁLICO PARA CORRIMÃO REF. CG 028 ALCOA</t>
  </si>
  <si>
    <t xml:space="preserve">SINALIZAÇÃO HORIZONTAL SOBRE PISO CIMENTADO, PADRÃO P/ DEFICIENTES, COM TINTA Á BASE DE RESINA ACRÍLICA </t>
  </si>
  <si>
    <t>PLACA DE INDICATIVA EM ACRÍLICO E ADESIVO, COM SINALIZAÇÃO PARA DEFICIENTES, DIM 12X30</t>
  </si>
  <si>
    <t>AS BUILT. OBSERVAÇÃO: CONTEMPLAR TODOS OS DESENHOS QUE SOFRERAM ALTERAÇÕES DURANTE A OBRA</t>
  </si>
  <si>
    <t>LETREIRO E AÇO INOX FONTE CALIBRI LIGHT TAMANHO 35</t>
  </si>
  <si>
    <t>INSTALAÇÃO</t>
  </si>
  <si>
    <t>8.3</t>
  </si>
  <si>
    <t>8.5</t>
  </si>
  <si>
    <t>9.3</t>
  </si>
  <si>
    <t>11.1</t>
  </si>
  <si>
    <t>COTAÇÃO WINNER COMUNICAÇÃO VISUAL</t>
  </si>
  <si>
    <t>GRELHA EM ALUMINIO MODELO AGS-T FAB TROX (P03-V1)</t>
  </si>
  <si>
    <t>PASS THRU COM FERROLHO 0,50X0,50 INSTALADO H=1,20 (P03-V1)</t>
  </si>
  <si>
    <t>COTAÇÃO SICA INOX</t>
  </si>
  <si>
    <t>COTAÇÃO TROX TECHNIK</t>
  </si>
  <si>
    <t>CLIMATIZAÇÃO</t>
  </si>
  <si>
    <r>
      <t>PINTURA TINTA DE ACABAMENTO (PIGMENTADA) ESMALTE SINTÉTICO FOSCO EM MADEIRA, 2 DEMÃOS. AF_01/2021</t>
    </r>
    <r>
      <rPr>
        <b/>
        <sz val="14"/>
        <color indexed="8"/>
        <rFont val="Arial Narrow"/>
        <family val="2"/>
      </rPr>
      <t xml:space="preserve"> (portas)</t>
    </r>
  </si>
  <si>
    <t>13.1</t>
  </si>
  <si>
    <r>
      <t xml:space="preserve">BANDEIRA FIXA DE MADEIRA PARA VIDRO </t>
    </r>
    <r>
      <rPr>
        <b/>
        <sz val="14"/>
        <color indexed="8"/>
        <rFont val="Arial Narrow"/>
        <family val="2"/>
      </rPr>
      <t>(P3B)</t>
    </r>
  </si>
  <si>
    <r>
      <t xml:space="preserve">VIDRO LISO INCOLOR 4MM - VER. 01_10/2021 </t>
    </r>
    <r>
      <rPr>
        <b/>
        <sz val="14"/>
        <color indexed="8"/>
        <rFont val="Arial Narrow"/>
        <family val="2"/>
      </rPr>
      <t xml:space="preserve"> (P3B)</t>
    </r>
  </si>
  <si>
    <t xml:space="preserve">PINTURA TINTA DE ACABAMENTO (PIGMENTADA) ESMALTE SINTÉTICO FOSCO EM MADEIRA, 2 DEMÃOS. AF_01/2021 </t>
  </si>
  <si>
    <t xml:space="preserve">LIXAMENTO DE MASSA PARA MADEIRA. AF_01/2021 </t>
  </si>
  <si>
    <r>
      <t xml:space="preserve">VIDRO LISO INCOLOR E= 6MM </t>
    </r>
    <r>
      <rPr>
        <b/>
        <sz val="14"/>
        <color indexed="8"/>
        <rFont val="Arial Narrow"/>
        <family val="2"/>
      </rPr>
      <t>(PE-01)</t>
    </r>
  </si>
  <si>
    <r>
      <t>VIDRO LISO INCOLOR E= 6MM</t>
    </r>
    <r>
      <rPr>
        <b/>
        <sz val="14"/>
        <color indexed="8"/>
        <rFont val="Arial Narrow"/>
        <family val="2"/>
      </rPr>
      <t xml:space="preserve"> (PE-02)</t>
    </r>
  </si>
  <si>
    <r>
      <t>VIDRO LISO INCOLOR E= 6MM</t>
    </r>
    <r>
      <rPr>
        <b/>
        <sz val="14"/>
        <color indexed="8"/>
        <rFont val="Arial Narrow"/>
        <family val="2"/>
      </rPr>
      <t xml:space="preserve"> (PE-03)</t>
    </r>
  </si>
  <si>
    <r>
      <t xml:space="preserve"> JANELA</t>
    </r>
    <r>
      <rPr>
        <b/>
        <sz val="14"/>
        <color indexed="8"/>
        <rFont val="Arial Narrow"/>
        <family val="2"/>
      </rPr>
      <t xml:space="preserve"> FIXA</t>
    </r>
    <r>
      <rPr>
        <sz val="14"/>
        <color indexed="8"/>
        <rFont val="Arial Narrow"/>
        <family val="2"/>
      </rPr>
      <t xml:space="preserve"> DE ALUMÍNIO PARA VIDRO, COM VIDRO, BATENTE E FERRAGENS. EXCLUSIVE ACABAMENTO, ALIZAR E CONTRAMARCO. FORNECIMENTO E INSTALAÇÃO F_12/2019  </t>
    </r>
    <r>
      <rPr>
        <b/>
        <sz val="14"/>
        <color indexed="8"/>
        <rFont val="Arial Narrow"/>
        <family val="2"/>
      </rPr>
      <t>(J02)</t>
    </r>
  </si>
  <si>
    <r>
      <t xml:space="preserve"> JANELA </t>
    </r>
    <r>
      <rPr>
        <b/>
        <sz val="14"/>
        <color indexed="8"/>
        <rFont val="Arial Narrow"/>
        <family val="2"/>
      </rPr>
      <t>FIXA</t>
    </r>
    <r>
      <rPr>
        <sz val="14"/>
        <color indexed="8"/>
        <rFont val="Arial Narrow"/>
        <family val="2"/>
      </rPr>
      <t xml:space="preserve"> DE ALUMÍNIO PARA VIDRO, COM VIDRO, BATENTE E FERRAGENS. EXCLUSIVE ACABAMENTO, ALIZAR E CONTRAMARCO. FORNECIMENTO E INSTALAÇÃO F_12/2019  </t>
    </r>
    <r>
      <rPr>
        <b/>
        <sz val="14"/>
        <color indexed="8"/>
        <rFont val="Arial Narrow"/>
        <family val="2"/>
      </rPr>
      <t>(J03)</t>
    </r>
  </si>
  <si>
    <r>
      <t xml:space="preserve"> JANELA </t>
    </r>
    <r>
      <rPr>
        <b/>
        <sz val="14"/>
        <color indexed="8"/>
        <rFont val="Arial Narrow"/>
        <family val="2"/>
      </rPr>
      <t>FIXA</t>
    </r>
    <r>
      <rPr>
        <sz val="14"/>
        <color indexed="8"/>
        <rFont val="Arial Narrow"/>
        <family val="2"/>
      </rPr>
      <t xml:space="preserve"> DE ALUMÍNIO PARA VIDRO, COM VIDRO, BATENTE E FERRAGENS. EXCLUSIVE ACABAMENTO, ALIZAR E CONTRAMARCO. FORNECIMENTO E INSTALAÇÃO F_12/2019  </t>
    </r>
    <r>
      <rPr>
        <b/>
        <sz val="14"/>
        <color indexed="8"/>
        <rFont val="Arial Narrow"/>
        <family val="2"/>
      </rPr>
      <t>(J04)</t>
    </r>
  </si>
  <si>
    <r>
      <t>JANELA DE ALUMÍNIO DE</t>
    </r>
    <r>
      <rPr>
        <b/>
        <sz val="14"/>
        <color indexed="8"/>
        <rFont val="Arial Narrow"/>
        <family val="2"/>
      </rPr>
      <t xml:space="preserve"> CORRER</t>
    </r>
    <r>
      <rPr>
        <sz val="14"/>
        <color indexed="8"/>
        <rFont val="Arial Narrow"/>
        <family val="2"/>
      </rPr>
      <t xml:space="preserve"> COM 2 FOLHAS PARA VIDROS, COM VIDROS, BATENTE, ACABAMENTO COM ACETATO OU BRILHANTE E FERRAGENS. EXCLUSIVE ALIZAR E CONTRAMARCO. FORNECIMENTO E INSTALAÇÃO. AF_12/2019</t>
    </r>
    <r>
      <rPr>
        <b/>
        <sz val="14"/>
        <color indexed="8"/>
        <rFont val="Arial Narrow"/>
        <family val="2"/>
      </rPr>
      <t xml:space="preserve"> (J05)</t>
    </r>
  </si>
  <si>
    <t>RECUPERAR JANELA EXISTENTE (JE)</t>
  </si>
  <si>
    <t>RECUPERAR PORTA EXISTENTE (PE)</t>
  </si>
  <si>
    <r>
      <t xml:space="preserve">REVISÃO ESQUADRIA DE ALUMÍNIO </t>
    </r>
    <r>
      <rPr>
        <b/>
        <sz val="14"/>
        <rFont val="Arial Narrow"/>
        <family val="2"/>
      </rPr>
      <t>(JE3)</t>
    </r>
  </si>
  <si>
    <r>
      <t xml:space="preserve">REVISÃO ESQUADRIA DE ALUMÍNIO </t>
    </r>
    <r>
      <rPr>
        <b/>
        <sz val="14"/>
        <rFont val="Arial Narrow"/>
        <family val="2"/>
      </rPr>
      <t>(JE4)</t>
    </r>
  </si>
  <si>
    <r>
      <t xml:space="preserve">REVISÃO ESQUADRIA DE ALUMÍNIO </t>
    </r>
    <r>
      <rPr>
        <b/>
        <sz val="14"/>
        <rFont val="Arial Narrow"/>
        <family val="2"/>
      </rPr>
      <t>(JE5)</t>
    </r>
  </si>
  <si>
    <r>
      <rPr>
        <sz val="14"/>
        <rFont val="Arial Narrow"/>
        <family val="2"/>
      </rPr>
      <t xml:space="preserve">DIVISÓRIA NAVAL (PAINEL COM VIDRO), E= 40MM, COM PERFIIS EM AÇO - FORNECIMENTO E APLICAÇÃO </t>
    </r>
    <r>
      <rPr>
        <b/>
        <sz val="14"/>
        <rFont val="Arial Narrow"/>
        <family val="2"/>
      </rPr>
      <t>(D-1)</t>
    </r>
  </si>
  <si>
    <r>
      <rPr>
        <sz val="14"/>
        <rFont val="Arial Narrow"/>
        <family val="2"/>
      </rPr>
      <t xml:space="preserve">DIVISÓRIA NAVAL (PAINEL COM VIDRO), E= 40MM, COM PERFIIS EM AÇO - FORNECIMENTO E APLICAÇÃO </t>
    </r>
    <r>
      <rPr>
        <b/>
        <sz val="14"/>
        <rFont val="Arial Narrow"/>
        <family val="2"/>
      </rPr>
      <t>(D-2)</t>
    </r>
  </si>
  <si>
    <r>
      <rPr>
        <sz val="14"/>
        <rFont val="Arial Narrow"/>
        <family val="2"/>
      </rPr>
      <t xml:space="preserve">DIVISÓRIA NAVAL (PAINEL COM VIDRO), E= 40MM, COM PERFIIS EM AÇO - FORNECIMENTO E APLICAÇÃO </t>
    </r>
    <r>
      <rPr>
        <b/>
        <sz val="14"/>
        <rFont val="Arial Narrow"/>
        <family val="2"/>
      </rPr>
      <t>(D-3)</t>
    </r>
  </si>
  <si>
    <r>
      <t xml:space="preserve">REVISÃO ESQUADRIA DE ALUMÍNIO </t>
    </r>
    <r>
      <rPr>
        <b/>
        <sz val="14"/>
        <rFont val="Arial Narrow"/>
        <family val="2"/>
      </rPr>
      <t>(JE6)</t>
    </r>
  </si>
  <si>
    <t>AR CONDICIONADO SPLIT ON/OFF, HI-WALL (PAREDE), 9000 BTUS/H, CICLO QUE NTE/FRIO - FORNECIMENTO E INSTALAÇÃO. AF_11/2021_PE</t>
  </si>
  <si>
    <r>
      <t xml:space="preserve">TUBULAÇÃO EM COBRE Ø </t>
    </r>
    <r>
      <rPr>
        <b/>
        <sz val="14"/>
        <color indexed="8"/>
        <rFont val="Arial Narrow"/>
        <family val="2"/>
      </rPr>
      <t>3/8</t>
    </r>
    <r>
      <rPr>
        <sz val="14"/>
        <color indexed="8"/>
        <rFont val="Arial Narrow"/>
        <family val="2"/>
      </rPr>
      <t>, PARA INTERLIGAÇÃO DE CONDENSADOR/EVAPORADOR, INCLUSIVE ISOLAMENTO TÉRMICO ELASTOMÉRICO 19MM, MULTIKITS, ALIMENTAÇÃO ELÉTRICA, CONEXÕES E FIXAÇÕES ( INFRAESTRUTURAP/ SISTEMA DE CLIMATIZAÇÃO VRV) - FORNECIMENTO E INSTALAÇÃO</t>
    </r>
  </si>
  <si>
    <r>
      <t>TUBULAÇÃO EM COBRE Ø</t>
    </r>
    <r>
      <rPr>
        <b/>
        <sz val="14"/>
        <color indexed="8"/>
        <rFont val="Arial Narrow"/>
        <family val="2"/>
      </rPr>
      <t xml:space="preserve"> 3/4</t>
    </r>
    <r>
      <rPr>
        <sz val="14"/>
        <color indexed="8"/>
        <rFont val="Arial Narrow"/>
        <family val="2"/>
      </rPr>
      <t>, PARA INTERLIGAÇÃO DE CONDENSADOR/EVAPORADOR, INCLUSIVE ISOLAMENTO TÉRMICO ELASTOMÉRICO 19MM, MULTIKITS, ALIMENTAÇÃO ELÉTRICA, CONEXÕES E FIXAÇÕES ( INFRAESTRUTURAP/ SISTEMA DE CLIMATIZAÇÃO VRV) - FORNECIMENTO E INSTALAÇÃO</t>
    </r>
  </si>
  <si>
    <r>
      <t xml:space="preserve">TUBULAÇÃO EM COBRE Ø </t>
    </r>
    <r>
      <rPr>
        <b/>
        <sz val="14"/>
        <color indexed="8"/>
        <rFont val="Arial Narrow"/>
        <family val="2"/>
      </rPr>
      <t>5/8</t>
    </r>
    <r>
      <rPr>
        <sz val="14"/>
        <color indexed="8"/>
        <rFont val="Arial Narrow"/>
        <family val="2"/>
      </rPr>
      <t>, PARA INTERLIGAÇÃO DE CONDENSADOR/EVAPORADOR, INCLUSIVE ISOLAMENTO TÉRMICO ELASTOMÉRICO 19MM, MULTIKITS, ALIMENTAÇÃO ELÉTRICA, CONEXÕES E FIXAÇÕES ( INFRAESTRUTURAP/ SISTEMA DE CLIMATIZAÇÃO VRV) - FORNECIMENTO E INSTALAÇÃO</t>
    </r>
  </si>
  <si>
    <t>CABO DE COBRE PP CORDPLAST 4X2,5 MM2, 450/750V</t>
  </si>
  <si>
    <r>
      <t xml:space="preserve">TUBO DE COBRE FLEXÍVEL , DN </t>
    </r>
    <r>
      <rPr>
        <b/>
        <sz val="14"/>
        <color indexed="8"/>
        <rFont val="Arial Narrow"/>
        <family val="2"/>
      </rPr>
      <t>1/4</t>
    </r>
    <r>
      <rPr>
        <sz val="14"/>
        <color indexed="8"/>
        <rFont val="Arial Narrow"/>
        <family val="2"/>
      </rPr>
      <t>'', COM ISOLAMENTO, INSTALADO EM FORRO, PARA RAMAL DE ALIMENTAÇÃO DE AR CONDICIONADO, INCLUSO FIXADOR. AF_011/2021</t>
    </r>
  </si>
  <si>
    <t>CALÇO BASE COM PARAFUSO E PORCA PODIUM MAÇICO BORRACHA PESO MAXIMO 280KG</t>
  </si>
  <si>
    <t>SINAPI</t>
  </si>
  <si>
    <t>ORSE</t>
  </si>
  <si>
    <t>8091</t>
  </si>
  <si>
    <t>1878</t>
  </si>
  <si>
    <t>7324</t>
  </si>
  <si>
    <t>BARRA DE APOIO, RETA, FIXA, EM AÇO INOX, L=40CM, D=1 1/4, JACKWAL OU SIMILAR</t>
  </si>
  <si>
    <t>CJ</t>
  </si>
  <si>
    <t xml:space="preserve"> 7325</t>
  </si>
  <si>
    <t>GÁS REFRIGERANTE R22</t>
  </si>
  <si>
    <t>11.2</t>
  </si>
  <si>
    <t>TUBO, PVC, SOLDÁVEL, DN 32 MM, INSTALADO EM DRENO DE AR CONDICIONADO FORNECIMENTO E INSTALAÇÃO. AF_08/2022</t>
  </si>
  <si>
    <t>PLACA EM AÇO INOX COM TEXTO EM BRAILLE PARA CORRIMÃO</t>
  </si>
  <si>
    <t>TUBO DE PVC RÍGIDO C/ ANEL BORRACHA , SERIE NORMAL, P/ ESGOTO PREDIAL, D150MM</t>
  </si>
  <si>
    <t>CAIXA DE INSPENÇÃO 0,60X0,60X0,60</t>
  </si>
  <si>
    <t>PONTO DE TOMADA 3P PARA AR CONDICIONADO ATÉ 3000 VA, COM ELETRODUTO DE PVC FLEXÍVEL SANFONADO EMBUTIDO Ø 3/4, INCLUIDO CONJUNTO ASTOP/30a-220V, INCLUSIVE ATERRAMENTO</t>
  </si>
  <si>
    <t>8.6</t>
  </si>
  <si>
    <t>8.7</t>
  </si>
  <si>
    <t>9.2</t>
  </si>
  <si>
    <t>9.4</t>
  </si>
  <si>
    <t>9.5</t>
  </si>
  <si>
    <t>12.2</t>
  </si>
  <si>
    <t>14.1</t>
  </si>
  <si>
    <r>
      <t>PISO TÁTIL DIRECIONAL E/OU</t>
    </r>
    <r>
      <rPr>
        <b/>
        <sz val="14"/>
        <rFont val="Arial Narrow"/>
        <family val="2"/>
      </rPr>
      <t xml:space="preserve"> ALERTA</t>
    </r>
    <r>
      <rPr>
        <sz val="14"/>
        <rFont val="Arial Narrow"/>
        <family val="2"/>
      </rPr>
      <t>, EM CONCRETO, P/DEFICIENTES VISUAIS, DIMENSÕES 25X25CM, APLICADO COM ARGAMASSA INDUSTRIALIZADA AC-II, REJUNTADO, INCLUSIVE REGULARIZAÇÃO DE BASE</t>
    </r>
  </si>
  <si>
    <r>
      <t xml:space="preserve">PISO TÁTIL </t>
    </r>
    <r>
      <rPr>
        <b/>
        <sz val="14"/>
        <rFont val="Arial Narrow"/>
        <family val="2"/>
      </rPr>
      <t>DIRECIONAL</t>
    </r>
    <r>
      <rPr>
        <sz val="14"/>
        <rFont val="Arial Narrow"/>
        <family val="2"/>
      </rPr>
      <t xml:space="preserve"> E/OU ALERTA, EM CONCRETO, P/DEFICIENTES VISUAIS, DIMENSÕES 25X25CM, APLICADO COM ARGAMASSA INDUSTRIALIZADA AC-II, REJUNTADO, INCLUSIVE REGULARIZAÇÃO DE BASE</t>
    </r>
  </si>
  <si>
    <t>JOELHO 90 GRAU, PVC, SERIE NORMAL, ESGOTO PREDIAL, DN 150MM , JUNTA ELÁSTICA, FORNECIDO E INSTALADO EM SUBCOLETOR AÉREO DE ESGOTO SANITÁRIO.AF_08/2022</t>
  </si>
  <si>
    <t>NÚCLEO DE ORÇAMENTO E PLANEJAMENTO</t>
  </si>
  <si>
    <t>Zandra Moreira</t>
  </si>
  <si>
    <t>Conclusão da obra da FÁRMACIA UNIVERSITÁRIA.</t>
  </si>
  <si>
    <t>93572</t>
  </si>
  <si>
    <t>TOMADA DUPLA, 2P + T, ABNT, DE EMBUTIR, 20 A, COM PLACA EM PVC</t>
  </si>
  <si>
    <t>DEMOLIÇÃO DE PAVIMENTAÇÃO ASFÁLTICA, EXCLUSIVE TRANSPORTE DO MATERIAL RETIRADO</t>
  </si>
  <si>
    <t>VÁLVULA EM PVC PARA LAVATÓRIO, CUBA OU MICTÓRIO, ACABAMENTO CROMADO, ASTRA VL6 (1'', COM TAMPA, LADRÃO E CUNHO COMPLETO) OU SIMILAR</t>
  </si>
  <si>
    <r>
      <t xml:space="preserve">INSTALAÇÃO DE VIDRO TEMPERADO, E = 6 MM, ENCAIXADO EM PERFIL U. AF_01/2021_PS </t>
    </r>
    <r>
      <rPr>
        <b/>
        <sz val="14"/>
        <rFont val="Arial Narrow"/>
        <family val="2"/>
      </rPr>
      <t>(J04</t>
    </r>
    <r>
      <rPr>
        <sz val="14"/>
        <rFont val="Arial Narrow"/>
        <family val="2"/>
      </rPr>
      <t>)</t>
    </r>
  </si>
  <si>
    <r>
      <t xml:space="preserve">INSTALAÇÃO DE VIDRO TEMPERADO, E = 6 MM, ENCAIXADO EM PERFIL U. AF_01/2021_PS </t>
    </r>
    <r>
      <rPr>
        <b/>
        <sz val="14"/>
        <rFont val="Arial Narrow"/>
        <family val="2"/>
      </rPr>
      <t>(J02)</t>
    </r>
  </si>
  <si>
    <r>
      <t>INSTALAÇÃO DE VIDRO TEMPERADO, E = 6 MM, ENCAIXADO EM PERFIL U. AF_01/2021_PS</t>
    </r>
    <r>
      <rPr>
        <b/>
        <sz val="14"/>
        <rFont val="Arial Narrow"/>
        <family val="2"/>
      </rPr>
      <t>(JE1)</t>
    </r>
  </si>
  <si>
    <t>8.2</t>
  </si>
  <si>
    <t>9.7</t>
  </si>
  <si>
    <t>4.3</t>
  </si>
  <si>
    <t>3.4</t>
  </si>
  <si>
    <t>9.6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</si>
  <si>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</si>
  <si>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</si>
  <si>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</si>
  <si>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</si>
  <si>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</si>
  <si>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</si>
  <si>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</si>
  <si>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</si>
  <si>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</si>
  <si>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</si>
  <si>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</si>
  <si>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FRIGELAR</t>
  </si>
  <si>
    <t>Núcleo de Orçamento e Planejamento</t>
  </si>
  <si>
    <t>SUMAI / UFBA</t>
  </si>
  <si>
    <t>4.5</t>
  </si>
  <si>
    <t>6.4</t>
  </si>
  <si>
    <t>DEMOLIÇÃO DE RODAPÉ DE ALTA RESISTENCIA</t>
  </si>
  <si>
    <t>7212</t>
  </si>
  <si>
    <t>RODAPÉ DE ALTA RESISTENCIA, H= 15cm MEIA CANA</t>
  </si>
  <si>
    <t>8373</t>
  </si>
  <si>
    <t>5.1</t>
  </si>
  <si>
    <t>DISPENSER , EM PLÁSTICO, PARA PAPEL HIGIÊNICO EM ROLO</t>
  </si>
  <si>
    <t>ASSENTAMENTO DE GUIA (MEIO-FIO) EM TRECHO CURVO, CONFECCIONADA EM CONCRETO PRÉ-FABRICADO, DIMENSÕES 39X6,5X6,5X19 CM (COMPRIMENTO X BASE INFERIOR X BASE SUPERIOR X ALTURA), PARA DELIMITAÇÃO DE JARDINS, PRAÇAS OU PASSEIOS. AF_01/2024</t>
  </si>
  <si>
    <t>ASSENTAMENTO DE GUIA (MEIO-FIO) EM TRECHO RETO, CONFECCIONADA EM CONCRETO PRÉ-FABRICADO, DIMENSÕES 39X6,5X6,5X19 CM (COMPRIMENTO X BASE INFERIOR X BASE SUPERIOR X ALTURA), PARA DELIMITAÇÃO DE JARDINS, PRAÇAS OU PASSEIOS. AF_01/2024</t>
  </si>
  <si>
    <t>94279</t>
  </si>
  <si>
    <t>94280</t>
  </si>
  <si>
    <t>TUBULAÇÃO EM COBRE Ø 1/2", PARA INTERLIGAÇÃO DE CONDENSADOR/EVAPORADOR, INCLUSIVE ISOLAMENTO TÉRMICO ELASTOMÉRICO 19MM, MULTIKITS, ALIMENTAÇÃO ELÉTRICA, CONEXÕES E FIXAÇÕES (INFRAESTRUTURA P/ SISTEMA DE CLIMATIZAÇÃO VRV) - FORNECIMENTO E INSTALAÇÃO</t>
  </si>
  <si>
    <t>INSTALAÇÃO DE AR CONDICIONADO SPLIT (EVAPORADORA  E CONDENSADORA), HI-WALL (PAREDES), ATÉ 9000 BTU/H</t>
  </si>
  <si>
    <t>3.2</t>
  </si>
  <si>
    <t>3.3</t>
  </si>
  <si>
    <t>REMOÇÃO DE FORRO DE GESSO, DE FORMA MANUAL, SEM REAPROVEITAMENTO. AF_09/2023</t>
  </si>
  <si>
    <t>EXECUÇÃO DE PASSEIO (CALÇADA) COM CONCRETO MOLDADO IN LOCO, USINADO, ACABAMENTO ESTAMPADO, ESPESSURA 6 CM, NÃO ARMADO. AF_08/2022</t>
  </si>
  <si>
    <t xml:space="preserve">    </t>
  </si>
  <si>
    <t>5158</t>
  </si>
  <si>
    <t>SINALIZAÇÃO DIURNA COM TELA TAPUME EM PVC - 10 USOS</t>
  </si>
  <si>
    <r>
      <t>CABO DE COBRE FLEXÍVEL ISOADO, 50MM², 0,6/1,0kv, PARA REDE AÉREA DE DISTRIBUIÇÃO DE ENERGIA ELÉTRICA DE BAIXA TENSÃO - FORNECIMENTO E INSTALAÇÃO. AF_07/2020</t>
    </r>
    <r>
      <rPr>
        <b/>
        <sz val="14"/>
        <color rgb="FF000000"/>
        <rFont val="Arial Narrow"/>
        <family val="2"/>
      </rPr>
      <t xml:space="preserve"> (PRETO)</t>
    </r>
  </si>
  <si>
    <r>
      <t>CABO DE COBRE FLEXÍVEL ISOADO, 50MM², 0,6/1,0kv, PARA REDE AÉREA DE DISTRIBUIÇÃO DE ENERGIA ELÉTRICA DE BAIXA TENSÃO - FORNECIMENTO E INSTALAÇÃO. AF_07/2020</t>
    </r>
    <r>
      <rPr>
        <b/>
        <sz val="14"/>
        <color rgb="FF000000"/>
        <rFont val="Arial Narrow"/>
        <family val="2"/>
      </rPr>
      <t xml:space="preserve"> (AZUL)</t>
    </r>
  </si>
  <si>
    <r>
      <t>CABO DE COBRE FLEXÍVEL ISOADO, 35MM², 0,6/1,0kv, PARA REDE AÉREA DE DISTRIBUIÇÃO DE ENERGIA ELÉTRICA DE BAIXA TENSÃO - FORNECIMENTO E INSTALAÇÃO. AF_07/2020</t>
    </r>
    <r>
      <rPr>
        <b/>
        <sz val="14"/>
        <color rgb="FF000000"/>
        <rFont val="Arial Narrow"/>
        <family val="2"/>
      </rPr>
      <t xml:space="preserve"> (VERDE)</t>
    </r>
  </si>
  <si>
    <r>
      <t>CABO DE COBRE FLEXÍVEL ISOADO, 95MM², 0,6/1,0kv, PARA REDE AÉREA DE DISTRIBUIÇÃO DE ENERGIA ELÉTRICA DE BAIXA TENSÃO - FORNECIMENTO E INSTALAÇÃO. AF_07/2020</t>
    </r>
    <r>
      <rPr>
        <b/>
        <sz val="14"/>
        <color rgb="FF000000"/>
        <rFont val="Arial Narrow"/>
        <family val="2"/>
      </rPr>
      <t xml:space="preserve"> (PRETO)</t>
    </r>
  </si>
  <si>
    <r>
      <t>CABO DE COBRE FLEXÍVEL ISOADO, 95MM², 0,6/1,0kv, PARA REDE AÉREA DE DISTRIBUIÇÃO DE ENERGIA ELÉTRICA DE BAIXA TENSÃO - FORNECIMENTO E INSTALAÇÃO. AF_07/2020</t>
    </r>
    <r>
      <rPr>
        <b/>
        <sz val="14"/>
        <color rgb="FF000000"/>
        <rFont val="Arial Narrow"/>
        <family val="2"/>
      </rPr>
      <t xml:space="preserve"> (AZUL)</t>
    </r>
  </si>
  <si>
    <r>
      <t>CABO DE COBRE FLEXÍVEL ISOADO, 70MM², 0,6/1,0kv, PARA REDE AÉREA DE DISTRIBUIÇÃO DE ENERGIA ELÉTRICA DE BAIXA TENSÃO - FORNECIMENTO E INSTALAÇÃO. AF_07/2020</t>
    </r>
    <r>
      <rPr>
        <b/>
        <sz val="14"/>
        <color rgb="FF000000"/>
        <rFont val="Arial Narrow"/>
        <family val="2"/>
      </rPr>
      <t xml:space="preserve"> (AZUL)</t>
    </r>
  </si>
  <si>
    <t>DISPOSITIVO DE PROTEÇÃO CONTRA SURTO DE TENSÃO DPS 40/20KA - 175V CLASSE II</t>
  </si>
  <si>
    <t>DISJUNTOR TERMOMAGNÉTICO TRIPOLAR 125 A COM CAIXA MOLDADA 10 KA</t>
  </si>
  <si>
    <t>DISJUNTOR TERMOMAGNÉTICO TRIPOLAR 25A, PADRÃO DIN (EUROPEU - LINHA BRANCA)</t>
  </si>
  <si>
    <t>TERMINAL DE COMPRESSÃO PARA CABO DE 95MM² -  FORNECIMENTO</t>
  </si>
  <si>
    <t xml:space="preserve">TERMINAL DE COMPRESSÃO PARA CABO DE 4MM² -  FORNECIMENTO E INSTALAÇÃO </t>
  </si>
  <si>
    <t>LIMPEZA DE SUPERFÍCE COM JATO DE ALTA PRESSÃO. AF_04/2019</t>
  </si>
  <si>
    <t>ALVENARIA DE VEDAÇÃO DE BLOCOS CERÂMICOS FURADOS NA HORIZONTAL DE 9X19X29 CM (ESPESSURA 9CM) E ARGAMASSA DE ASSENTAMENTO COM PREPARO EM BETONEIRA.AF_12/2021</t>
  </si>
  <si>
    <r>
      <t>RECUPERAÇÃO JANELA EXISTENTE</t>
    </r>
    <r>
      <rPr>
        <b/>
        <sz val="14"/>
        <rFont val="Arial Narrow"/>
        <family val="2"/>
      </rPr>
      <t xml:space="preserve"> (JE2)</t>
    </r>
  </si>
  <si>
    <r>
      <t>RECUPERAÇÃO JANELA EXISTENTE</t>
    </r>
    <r>
      <rPr>
        <b/>
        <sz val="14"/>
        <rFont val="Arial Narrow"/>
        <family val="2"/>
      </rPr>
      <t xml:space="preserve"> (JE1)</t>
    </r>
  </si>
  <si>
    <r>
      <t xml:space="preserve">RECUPERAR PORTA EXISTENTE </t>
    </r>
    <r>
      <rPr>
        <b/>
        <sz val="14"/>
        <rFont val="Arial Narrow"/>
        <family val="2"/>
      </rPr>
      <t>(PE-01)</t>
    </r>
  </si>
  <si>
    <r>
      <t>RECUPERAR PORTA EXISTENTE</t>
    </r>
    <r>
      <rPr>
        <b/>
        <sz val="14"/>
        <rFont val="Arial Narrow"/>
        <family val="2"/>
      </rPr>
      <t xml:space="preserve"> (PE-02)</t>
    </r>
  </si>
  <si>
    <r>
      <t xml:space="preserve">RECUPERAR PORTA EXISTENTE </t>
    </r>
    <r>
      <rPr>
        <b/>
        <sz val="14"/>
        <rFont val="Arial Narrow"/>
        <family val="2"/>
      </rPr>
      <t>(PE-03)</t>
    </r>
  </si>
  <si>
    <r>
      <t xml:space="preserve">RECUPERAR PORTA EXISTENTE </t>
    </r>
    <r>
      <rPr>
        <b/>
        <sz val="14"/>
        <rFont val="Arial Narrow"/>
        <family val="2"/>
      </rPr>
      <t>(PE-04)</t>
    </r>
  </si>
  <si>
    <t>AJUDANTE ESPECIALIZADO COM ENCARGOS COMPLEMENTARES</t>
  </si>
  <si>
    <t>SOLEIRA EM GRANITO CINZA ANDORINHA, L= 15 CM , E= 2 CM</t>
  </si>
  <si>
    <t>PEDREIRO COM ENCARGO COMPLEMENTARES</t>
  </si>
  <si>
    <t>ELETROCALHA METÁLICA PERFURADA 300X50X3000</t>
  </si>
  <si>
    <t>Eletrocalha metálica perfurada 300 x 50 x 3000 mm (ref. mopa ou similar)</t>
  </si>
  <si>
    <t>CURVA HORIZONTAL, 90°, PARA ELETROCALHA PERFURADA OU LISA 50X300MM , PRÉ ZINCADA</t>
  </si>
  <si>
    <t>EMOP</t>
  </si>
  <si>
    <t>CURVA HORIZONTAL, 90º, PARA ELETROCALHA PERFURADA OU LISA, 50X300MM, PRE-ZINCADA</t>
  </si>
  <si>
    <t>CURVA VERTICAL EXTERNA 90º, PARA ELETROC ALHA PERFURADA OU LISA, 300X50MM, PRE-ZI NCADA</t>
  </si>
  <si>
    <t>TE HORIZONTAL 90°, PARA ELETROCALHA PERF URADA OU LISA, 300X50MM, PRE-ZINCADA</t>
  </si>
  <si>
    <t>TERMINAL DE COMPRESSÃO PARA CABOS DE 35MM² - FORNECIMENTO E INSTALAÇÃO</t>
  </si>
  <si>
    <t>FORNECIMENTO E INSTALAÇÃO DE PLACA DE OBRA COM CHAPA GALVANIZADA E ESTRUTURA DE MADEIRA. AF_03/2022_PS</t>
  </si>
  <si>
    <t>BARRA DE APOIO PARA LAVATÓRIO, CONSTITUÍDA DA BARRA LATERAL TIPO "U" EM AÇO POLIDO, L=30CM , SICMOL OU SIMILAR</t>
  </si>
  <si>
    <t>EMBOÇO OU MASSA ÚNICA EM ARGAMASSA TRAÇO 1:2:8, PREPARO MANUAL, APLICADA MANUALMENTE NAS PAREDES INTERNAS DA SACADA, ESPESSURA DE 25 MM, SEM USO DE TELA METÁLICA DE REFORÇO CONTRA FISSURAÇÃO. AF_08/2022</t>
  </si>
  <si>
    <t>ACESSIBILIDADE - PLACA DE IMPACTO DE PORTA EM AÇO INOX 90X40CM</t>
  </si>
  <si>
    <t>SBC</t>
  </si>
  <si>
    <t xml:space="preserve"> INOVA ATERFATOS</t>
  </si>
  <si>
    <t>DISJUNTOR TERMOMAGNÉTICO TRIPOLAR 175 A COM CAIXA MOLDADA 10 KA</t>
  </si>
  <si>
    <t>PONTO DE TOMADA DUPLA PARA LÓGICA LINHA CONDULETE TOP TIGRE OU SIMILAR - FORNECIMENTO E INSTALAÇÃO</t>
  </si>
  <si>
    <t>AUXILIAR DE ELERICISTA COM ENCARGOS COMPLEMENTARES</t>
  </si>
  <si>
    <t>CABO DE REDE, PAR TRANCADO U/UTP, 4 PARES, CATEGORIA 6 (CAT 6), ISOLAMENTO PVC (CM)</t>
  </si>
  <si>
    <t>CONDULETE EM PVC, TIPO "E", SEM TAMPA, DE 1"</t>
  </si>
  <si>
    <t>ELETRODUTO/CONDULETE DE PVC RIGIDO, LISO, COR CINZA, DE 3/4", PARA INSTALACOES APARENTES (NBR 5410)</t>
  </si>
  <si>
    <t>TAMPA PARA CONDULETE, EM PVC, PARA 2 MODULOS RJ</t>
  </si>
  <si>
    <t>FITA ISOLANTE ADESIVA ANTICHAMA, USO ATE 750 V, EM ROLO DE 19 MM X 20 M</t>
  </si>
  <si>
    <t>3.1</t>
  </si>
  <si>
    <t>4.4</t>
  </si>
  <si>
    <t>10.1</t>
  </si>
  <si>
    <t>REMOÇÃO PLACA DE OBRA (ORSE31)</t>
  </si>
  <si>
    <t>2450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</si>
  <si>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</si>
  <si>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</si>
  <si>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MOBILIZAÇÃO E DESMOBILIZAÇÃO DE CONTAINER, INCLUSIVE CARGA, DESCARGA E TRANSPORTE EM CAMINHÃO CARROCERIA COM GUINDAUTO (MUNCK), EXCLUSIVE LOCAÇÃO DO CONTAINER ( SETOP ED-31952)</t>
  </si>
  <si>
    <t xml:space="preserve">MOBILIÁRIO DOS LABORATÓRIOS </t>
  </si>
  <si>
    <t>QUADRO DE PROTEÇÃO COM TELA DE AREMA GALVANIZADO , ONDULADA, FIO 12 BWG, 1" FIXADAS COM CANTONEIRAS EM AÇO. Ver - 01</t>
  </si>
  <si>
    <t>BAHIA - VIGÊNCIA A PARTIR DE 01/2025</t>
  </si>
  <si>
    <t>REMOÇÃO DE ARMÁRIO</t>
  </si>
  <si>
    <t>MARCENEIRO COM ENCARGOS COMPLEMENTARES</t>
  </si>
  <si>
    <t>TELA MOSQUETEIRO</t>
  </si>
  <si>
    <t>INSTALAÇÃO DE AR CONDICIONADO SPLIT(EVAPORADORA E CONDENSADORA), HI-WALL (PAREDE), DE 12000BTU/H ATE 18000 BTU/H, COM DISTÂNCIA ENTRE EVAPORADORA E CONDENSADORA DE ATÉ 3M. VER 01_01/2025</t>
  </si>
  <si>
    <t>INSTALAÇÃO DE AR CONDICIONADO SPLIT(EVAPORADORA E CONDENSADORA), HI-WALL (PAREDE), DE 24000BTU/H ATE 30000 BTU/H, COM DISTÂNCIA ENTRE EVAPORADORA E CONDENSADORA DE ATÉ 3M. VER 01_01/2025</t>
  </si>
  <si>
    <t>AR CONDICIONADO SPLIT ON/OFF, PISO TETO, 36.000 BTU/H, CICLO FRIO - FORNECIMENTO E INSTALAÇÃO.AF_11/2021_PSE</t>
  </si>
  <si>
    <t>TELA MOSQUETEIRO EM POLIETILENO</t>
  </si>
  <si>
    <t>TELA EM PVC TIPO MOSQUETEIRO</t>
  </si>
  <si>
    <t>EMBASA 15.91.54</t>
  </si>
  <si>
    <t>FORRO EM RÉGUAS DE PVC, LISO, PARA AMBIENTES RESIDENCIAIS, INCLUSIVE ESTRUTURA UNIDIRECIONAL DE FIXAÇÃO.  AF_08/2023_PS</t>
  </si>
  <si>
    <t>PUXADOR PARA PCD, FIXADO NA PORTA - FORNECIMENTO E INSTALAÇÃO.AF_01/2020</t>
  </si>
  <si>
    <r>
      <t xml:space="preserve">VISOR EM ALUMÍNIO COM VIDRO TEMPERADO 4MM  </t>
    </r>
    <r>
      <rPr>
        <b/>
        <sz val="14"/>
        <color indexed="8"/>
        <rFont val="Arial Narrow"/>
        <family val="2"/>
      </rPr>
      <t>(P03-V)</t>
    </r>
  </si>
  <si>
    <r>
      <t>VIDRO LISO INCOLOR E= 6MM</t>
    </r>
    <r>
      <rPr>
        <b/>
        <sz val="14"/>
        <rFont val="Arial Narrow"/>
        <family val="2"/>
      </rPr>
      <t xml:space="preserve"> (PE-04)</t>
    </r>
  </si>
  <si>
    <r>
      <t>PORTA EM ALUMINIO , COR N/P/B, TIPO VENEZIANA (ATE 50%) E VIDRO  (ATÉ 50%), DE ABRIR  OU CORRER , COMPLETA , INCLUSIVE  CAIXILHOS, DOBRADIÇAS OU ROLDANAS, FECHADURA EXCLUSIVE VIDRO</t>
    </r>
    <r>
      <rPr>
        <b/>
        <sz val="14"/>
        <color rgb="FF000000"/>
        <rFont val="Arial Narrow"/>
        <family val="2"/>
      </rPr>
      <t xml:space="preserve"> (PE5)</t>
    </r>
  </si>
  <si>
    <t>VIDRO CANELADO 6MM</t>
  </si>
  <si>
    <t>D230000022</t>
  </si>
  <si>
    <t>EMBASA</t>
  </si>
  <si>
    <t>8.4</t>
  </si>
  <si>
    <r>
      <t xml:space="preserve">PORTA DE MADEIRA COMPENSADA (CANELA), LISA, SEMI-ÔCA, 1,80 X 2,10M , DUAS FOLHAS, INCLUSIVE BATENTES E FERRAGES </t>
    </r>
    <r>
      <rPr>
        <b/>
        <sz val="14"/>
        <rFont val="Arial Narrow"/>
        <family val="2"/>
      </rPr>
      <t>(PE6)</t>
    </r>
  </si>
  <si>
    <r>
      <t xml:space="preserve">KIT DE PORTA DE MADEIRA PARA PINTURA, SEMI-OCA (LEVE OU MÉDIA), PADRÃO MÉDIO, 90X210CM, ESPESSURA DE 3,5CM , ITENS INCLUSOS: DOBRADIÇAS, MONTAGEM E INSTALAÇÃO DO BATENTE, FECHADURA COM EXECUÇÃO DO FURO - FORNECIMENTO E INSTALAÇÃO </t>
    </r>
    <r>
      <rPr>
        <b/>
        <sz val="14"/>
        <rFont val="Arial Narrow"/>
        <family val="2"/>
      </rPr>
      <t>(P3B)</t>
    </r>
  </si>
  <si>
    <r>
      <t xml:space="preserve">PORTÃO EM CHAPA DE FERRO N° 18 (1,25MM), DE CORRER, QUADRO EM TUBO DE FERRO GALVANIZADO/INTER HORIZONTAL DE 2'', INCLUSIVE TRANCAS/FEROLHOS - REV01 </t>
    </r>
    <r>
      <rPr>
        <b/>
        <sz val="14"/>
        <rFont val="Arial Narrow"/>
        <family val="2"/>
      </rPr>
      <t>(PF)</t>
    </r>
  </si>
  <si>
    <r>
      <t xml:space="preserve">JANELA EM ALUMÍNIO, COR N/P/B, MOLDURA-VIDRO, TIPO GUILHOTINA, EXCLUSIVE VIDRO </t>
    </r>
    <r>
      <rPr>
        <b/>
        <sz val="14"/>
        <rFont val="Arial Narrow"/>
        <family val="2"/>
      </rPr>
      <t>(J01)</t>
    </r>
  </si>
  <si>
    <r>
      <t>INSTALAÇÃO DE VIDRO TEMPERADO, E = 6 MM, ENCAIXADO EM PERFIL U. AF_01/2021_PS</t>
    </r>
    <r>
      <rPr>
        <b/>
        <sz val="14"/>
        <rFont val="Arial Narrow"/>
        <family val="2"/>
      </rPr>
      <t xml:space="preserve"> (J03)</t>
    </r>
  </si>
  <si>
    <r>
      <t xml:space="preserve">INSTALAÇÃO DE VIDRO TEMPERADO, E = 6 MM, ENCAIXADO EM PERFIL U. AF_01/2021_PS </t>
    </r>
    <r>
      <rPr>
        <b/>
        <sz val="14"/>
        <rFont val="Arial Narrow"/>
        <family val="2"/>
      </rPr>
      <t>(JE2)</t>
    </r>
  </si>
  <si>
    <r>
      <t xml:space="preserve">VIDRO LISO INCOLOR 4MM - VER 01_10/2021 </t>
    </r>
    <r>
      <rPr>
        <b/>
        <sz val="14"/>
        <rFont val="Arial Narrow"/>
        <family val="2"/>
      </rPr>
      <t xml:space="preserve"> (JE3)</t>
    </r>
  </si>
  <si>
    <r>
      <t>VIDRO LISO INCOLOR 4MM - VER 01_10/2021  VER. 02_10/2021</t>
    </r>
    <r>
      <rPr>
        <b/>
        <sz val="14"/>
        <rFont val="Arial Narrow"/>
        <family val="2"/>
      </rPr>
      <t xml:space="preserve"> (JE5)</t>
    </r>
  </si>
  <si>
    <r>
      <t xml:space="preserve">VIDRO LISO INCOLOR 4MM - VER 01_10/2021 </t>
    </r>
    <r>
      <rPr>
        <b/>
        <sz val="14"/>
        <rFont val="Arial Narrow"/>
        <family val="2"/>
      </rPr>
      <t xml:space="preserve"> (JE4)</t>
    </r>
  </si>
  <si>
    <t>Confecção e instalação de película auto-adesiva, tipo jateada</t>
  </si>
  <si>
    <t>BASE INSUMO ORSE/8939.</t>
  </si>
  <si>
    <t>UFBA/90006</t>
  </si>
  <si>
    <r>
      <t xml:space="preserve">VIDRO LISO INCOLOR 4MM - VER 01_10/2021 </t>
    </r>
    <r>
      <rPr>
        <b/>
        <sz val="14"/>
        <color rgb="FF000000"/>
        <rFont val="Arial Narrow"/>
        <family val="2"/>
      </rPr>
      <t>(J05)</t>
    </r>
  </si>
  <si>
    <r>
      <t xml:space="preserve">REVISÃO DE ESQUADRIA DE ALUMIÍNIO </t>
    </r>
    <r>
      <rPr>
        <b/>
        <sz val="14"/>
        <rFont val="Arial Narrow"/>
        <family val="2"/>
      </rPr>
      <t>(JE6)</t>
    </r>
  </si>
  <si>
    <r>
      <t>INSTALAÇÃO DE VIDRO TEMPERADO, E = 6 MM, ENCAIXADO EM PERFIL U. AF_01/2021_PS</t>
    </r>
    <r>
      <rPr>
        <b/>
        <sz val="14"/>
        <rFont val="Arial Narrow"/>
        <family val="2"/>
      </rPr>
      <t xml:space="preserve"> (JE6)</t>
    </r>
  </si>
  <si>
    <r>
      <t xml:space="preserve">VIDRO LISO INCOLOR 6MM - VER 01_10/2021 </t>
    </r>
    <r>
      <rPr>
        <b/>
        <sz val="14"/>
        <rFont val="Arial Narrow"/>
        <family val="2"/>
      </rPr>
      <t>(JE6)</t>
    </r>
  </si>
  <si>
    <t>PORTA/PAINEL CEGO PARA DIVISÓRIA(N1) - PAINEL CEGO MSO/COMEIA E=35MM, S/ BONECA, INCLUSO BATENTE , TESTEIRO, DOBRADIÇA E FECHADURA.AF_01/2021</t>
  </si>
  <si>
    <t>INTALAÇÃO PASS THRU NA ALVENARIA T22</t>
  </si>
  <si>
    <t>BASE GRANITO CINZA CORUMBÁ</t>
  </si>
  <si>
    <t>ARESTAMENTO DE VÃOS</t>
  </si>
  <si>
    <t>DEMOLIÇÃO DE ALVENARIA DE BLOCO FURADO, DE FORMA MANUAL, SEM REAPROVEITAMENTO</t>
  </si>
  <si>
    <t>M³</t>
  </si>
  <si>
    <t xml:space="preserve">	Argamassa cimento e areia traço t-1 (1:3) - 1 saco cimento 50kg / 3 padiolas areia dim. 0.35 x 0.45 x 0.23 m - Confecção mecânica e transporte</t>
  </si>
  <si>
    <t>ALARME BANHEIRO PNE DEFICIENTES FÍSICO CONFIRMA NBR 9050 COM ACIONADOR</t>
  </si>
  <si>
    <t>9.19</t>
  </si>
  <si>
    <t>DUCHA HIGIÊNICA COM REGISTRO, LINHA ASPEN, REF. 1984 C35 DECA OU SIMILAR</t>
  </si>
  <si>
    <t>ACRILTECH</t>
  </si>
  <si>
    <t>FRETE</t>
  </si>
  <si>
    <t>PORTA P3-V1 0,90X2,10 ABRIR VISOR , CAIXA ACRILICA PASSA OBJETO E FILTRO T24/T25</t>
  </si>
  <si>
    <t>ARGAMASSA CIMENTO E AREIO TRAÇO T-7 (1:4) - 1 SACO CIMENTO 50KG / 4 PADIOLAS AREIA DIM. 0,35Z00,45X0,23M- CONFECÇÃO MECÂNICA E TRANSPORTE</t>
  </si>
  <si>
    <t>Caixa em acrílico cristal 40 x 30 x 40 x 3mm (PROJETO)</t>
  </si>
  <si>
    <t>7.1</t>
  </si>
  <si>
    <t>7.2</t>
  </si>
  <si>
    <t>7.3</t>
  </si>
  <si>
    <t>9.1</t>
  </si>
  <si>
    <t>9.20</t>
  </si>
  <si>
    <t>9.21</t>
  </si>
  <si>
    <t>9.22</t>
  </si>
  <si>
    <t>9.23</t>
  </si>
  <si>
    <t>9.24</t>
  </si>
  <si>
    <t>9.25</t>
  </si>
  <si>
    <t>9.26</t>
  </si>
  <si>
    <t>9.27</t>
  </si>
  <si>
    <t>9.28</t>
  </si>
  <si>
    <t>9.29</t>
  </si>
  <si>
    <t>11.3</t>
  </si>
  <si>
    <t>11.4</t>
  </si>
  <si>
    <t>14.2</t>
  </si>
  <si>
    <t>14.3</t>
  </si>
  <si>
    <t>14.4</t>
  </si>
  <si>
    <t>REMOÇÃO DE PORTÃO / PORTA METALICO (EMBASA 02.01.47)</t>
  </si>
  <si>
    <r>
      <t>CABO DE COBRE FLEXÍVEL ISOLADO, 4 MM², ANTI-CHAMA 450/750 V, PARA CIRCUITOS TERMINAIS - FORNECIMENTO E INSTALAÇÃO. AF_03/2023</t>
    </r>
    <r>
      <rPr>
        <b/>
        <sz val="14"/>
        <color rgb="FF000000"/>
        <rFont val="Arial Narrow"/>
        <family val="2"/>
      </rPr>
      <t>(VERMELHO)</t>
    </r>
  </si>
  <si>
    <r>
      <t xml:space="preserve">CABO DE COBRE FLEXÍVEL ISOLADO, 4 MM², ANTI-CHAMA 450/750 V, PARA CIRCUITOS TERMINAIS - FORNECIMENTO E INSTALAÇÃO. AF_03/2023 </t>
    </r>
    <r>
      <rPr>
        <b/>
        <sz val="14"/>
        <color rgb="FF000000"/>
        <rFont val="Arial Narrow"/>
        <family val="2"/>
      </rPr>
      <t>(VERDE)</t>
    </r>
  </si>
  <si>
    <r>
      <t>CABO DE COBRE FLEXÍVEL ISOLADO, 2,5 MM², ANTI-CHAMA 450/750 V, PARA CIRCUITOS TERMINAIS - FORNECIMENTO E INSTALAÇÃO. AF_03/2023</t>
    </r>
    <r>
      <rPr>
        <b/>
        <sz val="14"/>
        <color rgb="FF000000"/>
        <rFont val="Arial Narrow"/>
        <family val="2"/>
      </rPr>
      <t>(VERMELHO)</t>
    </r>
  </si>
  <si>
    <r>
      <t xml:space="preserve">CABO DE COBRE FLEXÍVEL ISOLADO, 2,5 MM², ANTI-CHAMA 450/750 V, PARA CIRCUITOS TERMINAIS - FORNECIMENTO E INSTALAÇÃO. AF_03/2023 </t>
    </r>
    <r>
      <rPr>
        <b/>
        <sz val="14"/>
        <color rgb="FF000000"/>
        <rFont val="Arial Narrow"/>
        <family val="2"/>
      </rPr>
      <t>(VERDE)</t>
    </r>
  </si>
  <si>
    <t>TERMINAL DE COMPRESSÃO PARA CABO DE 50MM2 - FORNECIMENTO E INSTALAÇÃO</t>
  </si>
  <si>
    <r>
      <t xml:space="preserve">PORTA EM MADEIRA DE LEI , DE CORRER , LISA, SEMI-ÔCA 0,90X2,10, INCLUISVE BATENTES E FERRAGENS  - VER 02 </t>
    </r>
    <r>
      <rPr>
        <b/>
        <sz val="14"/>
        <rFont val="Arial Narrow"/>
        <family val="2"/>
      </rPr>
      <t>(P3C)</t>
    </r>
  </si>
  <si>
    <t>ALUGUEL MENSAL ESMERILHADEIRA BOSCH 1322</t>
  </si>
  <si>
    <t>FERRAMENTA - DISCO DE SERRA VIDEA PARA MADEIRA SERRAMAX DE 7.1/4 POL DE 36 DENTES 2055 STAMACO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</si>
  <si>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</si>
  <si>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COLA PU PARA TACOS E ASSOALHOS DE MADEIRA COM CATALIZADOR SIKABOND 134</t>
  </si>
  <si>
    <t>QUEBRA EM ALVENARIA PARA INSTALAÇÃO DE QUADRO DISTRIBUIÇÃO GRANDE (76X40CM ). AF_09/2023</t>
  </si>
  <si>
    <t>9.30</t>
  </si>
  <si>
    <r>
      <t xml:space="preserve">VISOR EM ALUMÍNIO COM VIDRO TEMPERADO 4MM </t>
    </r>
    <r>
      <rPr>
        <b/>
        <sz val="14"/>
        <rFont val="Arial Narrow"/>
        <family val="2"/>
      </rPr>
      <t xml:space="preserve"> (P03-V1)</t>
    </r>
  </si>
  <si>
    <t>Preços Sinapi: Data Referência Técnica: 06/2025        -          Preços Orse:   Data Referência MAIO/2025-1</t>
  </si>
  <si>
    <t>Preços SBC:   Data Referência 07/2025</t>
  </si>
  <si>
    <t>Preço Emop - RJ: Data Referência 05/2025</t>
  </si>
  <si>
    <t>Salvador, 18 de JULHO de 2025</t>
  </si>
  <si>
    <t>JULHO/2025</t>
  </si>
  <si>
    <t>5.2</t>
  </si>
  <si>
    <t>PORTA P3-V1 0,90X2,10 ABRIR VISOR , CAIXA ACRILICA PASSA OBJETO E FILTRO T20/T15</t>
  </si>
  <si>
    <t>CHUVEIRO E LAVA  - OLHOS DE EMERGÊNCIA E BACIA EM AÇO INOX, DA MARCA ADAMO, REF.01486 OU SIMILAR</t>
  </si>
  <si>
    <t>RECOLOCAÇÃO DE ARMÁRIO</t>
  </si>
  <si>
    <t>5.3</t>
  </si>
  <si>
    <t>RECUPERAÇÃO DE GRADIL</t>
  </si>
  <si>
    <t>LIXAMENTO MANUAL EM SUPERFICÍE METÁLICA EM OBRA.AF_01/2020</t>
  </si>
  <si>
    <t>PINTURA DE ACABAMENTO COM LIXAMENTO , APLICAÇÃO DE 01 DEMAIS DE TINTA À BASE DE ZARCÃO E 02 DEMÃOS DE TINTA ESMALTE</t>
  </si>
  <si>
    <t>REVISÃO DE ESQUADRIAS E GRADES DE FERRO - OBRA DE REFORMA DO COMPEMCAN</t>
  </si>
  <si>
    <t>LOCAÇÕES</t>
  </si>
  <si>
    <t>DEMOLIÇÕES</t>
  </si>
  <si>
    <t>97622</t>
  </si>
  <si>
    <t xml:space="preserve">TRANSPORTE HORIZONTAL DE MATERIAIS DIVERSOS - DMT-50M </t>
  </si>
  <si>
    <t>M3XKM</t>
  </si>
  <si>
    <t>CARGA MANUAL EM CAMINHAO BASCULANTE</t>
  </si>
  <si>
    <t>97914</t>
  </si>
  <si>
    <t>TRANSPORTE COM CAMINHÃO BASCULANTE DE 6 M³, EM VIA URBANA PAVIMENTADA, DMT ATÉ 30 KM (UNIDADE: M3XKM). AF_07/2020</t>
  </si>
  <si>
    <t xml:space="preserve">DEMOLIÇÃO DE CONCRETO MANUALMENTE </t>
  </si>
  <si>
    <t xml:space="preserve">DEMOLIÇÃO DE ALVENARIA DE BLOCO FURADO, DE FORMA MANUAL, SEM REAPROVEITAMENTO. AF_09/2023 </t>
  </si>
  <si>
    <t>FORNECIMENTO E INSTALAÇÃO DE TRAVA PORTAS COM FIXAÇÃO NO PISO</t>
  </si>
  <si>
    <r>
      <t xml:space="preserve">BANDEIRA FIXA DE MADEIRA PARA VIDRO </t>
    </r>
    <r>
      <rPr>
        <b/>
        <sz val="14"/>
        <color indexed="8"/>
        <rFont val="Arial Narrow"/>
        <family val="2"/>
      </rPr>
      <t>(P07-VT)</t>
    </r>
    <r>
      <rPr>
        <sz val="14"/>
        <color indexed="8"/>
        <rFont val="Arial Narrow"/>
        <family val="2"/>
      </rPr>
      <t xml:space="preserve"> - 01 UND -Sala T06</t>
    </r>
  </si>
  <si>
    <r>
      <t>VIDRO LISO INCOLOR E= 6MM</t>
    </r>
    <r>
      <rPr>
        <b/>
        <sz val="14"/>
        <color indexed="8"/>
        <rFont val="Arial Narrow"/>
        <family val="2"/>
      </rPr>
      <t xml:space="preserve"> (P07-VT)</t>
    </r>
    <r>
      <rPr>
        <sz val="14"/>
        <color indexed="8"/>
        <rFont val="Arial Narrow"/>
        <family val="2"/>
      </rPr>
      <t xml:space="preserve"> - 01 UND -Sala T06</t>
    </r>
  </si>
  <si>
    <r>
      <t xml:space="preserve">RECUPERAR PORTA EXISTENTE </t>
    </r>
    <r>
      <rPr>
        <b/>
        <sz val="14"/>
        <rFont val="Arial Narrow"/>
        <family val="2"/>
      </rPr>
      <t xml:space="preserve">(P07-VT) </t>
    </r>
    <r>
      <rPr>
        <sz val="14"/>
        <rFont val="Arial Narrow"/>
        <family val="2"/>
      </rPr>
      <t>- 01 UND -Sala T06</t>
    </r>
  </si>
  <si>
    <r>
      <t xml:space="preserve">VIDRO LISO INCOLOR 4MM - REV. 01_10/2021 </t>
    </r>
    <r>
      <rPr>
        <b/>
        <sz val="14"/>
        <color indexed="8"/>
        <rFont val="Arial Narrow"/>
        <family val="2"/>
      </rPr>
      <t xml:space="preserve"> (P07-VT)</t>
    </r>
    <r>
      <rPr>
        <sz val="14"/>
        <color indexed="8"/>
        <rFont val="Arial Narrow"/>
        <family val="2"/>
      </rPr>
      <t xml:space="preserve"> - 01 UND -Sala T06</t>
    </r>
  </si>
  <si>
    <t>BASE 03737/ORSE</t>
  </si>
  <si>
    <t>TRAVA / PRENDEDOR DE PORTA, EM LATAO CROMADO, MONTADO EM PISO</t>
  </si>
  <si>
    <t xml:space="preserve">LUMINÁRIA TIPO CALHA DE EMBUTIR, COM FECHAMENTO EM ACRÍLICO OPACO 120CM, BORDAS BRANCAS,COM 2 LÂMPADAS TUBULARES LED DE 18 W, SEM REATOR - FORNECIMENTO E INSTALAÇÃO. </t>
  </si>
  <si>
    <t>BASE 07331/ORSE</t>
  </si>
  <si>
    <t>LAMPADA LED TUBULAR BIVOLT 18/20 W, BASE G13</t>
  </si>
  <si>
    <t xml:space="preserve">LUMINÁRIA TIPO CALHA DE EMBUTIR, COM FECHAMENTO EM ACRÍLICO OPACO 120CM, BORDAS BRANCAS,COM 2 LÂMPADAS TUBULARES LED DE 18 W - FORNECIMENTO E INSTALAÇÃO. </t>
  </si>
  <si>
    <t xml:space="preserve">COTAÇÃO </t>
  </si>
  <si>
    <t>belluce.com.br</t>
  </si>
  <si>
    <t>LUMINÁRIA DE EMBUTIR RULER 2 T8 120CM | USINA 3710/130F - COM FECHAMENTO EM ACRÍLICO</t>
  </si>
  <si>
    <t>BASE 100916/SINAPI</t>
  </si>
  <si>
    <t>VIDRACEIRO COM ENCARGOS COMPLEMENTARES</t>
  </si>
  <si>
    <t>00013</t>
  </si>
  <si>
    <t>BASE 10025/SINAPI</t>
  </si>
  <si>
    <t>2509</t>
  </si>
  <si>
    <t xml:space="preserve">QUADRO DE DISTRIBUIÇÃO DE SOBREPOR, CONFECCIONADO EM CHAPA METÁLICA COM BARRAMENTO PRINCIPAL PARA 250A E BARRAMENTO SECUNDÁRIO PARA 150A E ESPAÇO PARA 4 DISJUNTORES DO TIPO CAIXA MOLDADA. COM BARRAMENTO DE NEUTRO E TERRA E MUNIDO DE CANALETA ORGANIZADORA DE CABOS </t>
  </si>
  <si>
    <t>1.2</t>
  </si>
  <si>
    <t>5.4</t>
  </si>
  <si>
    <t>5.5</t>
  </si>
  <si>
    <t>5.6</t>
  </si>
  <si>
    <t>5.7</t>
  </si>
  <si>
    <t>6.8</t>
  </si>
  <si>
    <t>6.9</t>
  </si>
  <si>
    <t>6.10</t>
  </si>
  <si>
    <t>6.11</t>
  </si>
  <si>
    <t>9.31</t>
  </si>
  <si>
    <t>9.32</t>
  </si>
  <si>
    <t>9.33</t>
  </si>
  <si>
    <t>9.34</t>
  </si>
  <si>
    <t>9.35</t>
  </si>
  <si>
    <t>9.36</t>
  </si>
  <si>
    <t>9.37</t>
  </si>
  <si>
    <t>9.38</t>
  </si>
  <si>
    <t>9.39</t>
  </si>
  <si>
    <t>9.40</t>
  </si>
  <si>
    <t>9.41</t>
  </si>
  <si>
    <t>9.42</t>
  </si>
  <si>
    <t>9.43</t>
  </si>
  <si>
    <t>9.44</t>
  </si>
  <si>
    <t>9.45</t>
  </si>
  <si>
    <t>9.46</t>
  </si>
  <si>
    <t>9.47</t>
  </si>
  <si>
    <t>9.48</t>
  </si>
  <si>
    <t>9.49</t>
  </si>
  <si>
    <t>9.50</t>
  </si>
  <si>
    <t>9.51</t>
  </si>
  <si>
    <t>9.52</t>
  </si>
  <si>
    <t>9.53</t>
  </si>
  <si>
    <t>9.54</t>
  </si>
  <si>
    <t>9.55</t>
  </si>
  <si>
    <t>9.56</t>
  </si>
  <si>
    <t>9.57</t>
  </si>
  <si>
    <t>9.58</t>
  </si>
  <si>
    <t>9.59</t>
  </si>
  <si>
    <t>9.60</t>
  </si>
  <si>
    <t>9.61</t>
  </si>
  <si>
    <t>9.62</t>
  </si>
  <si>
    <t>9.63</t>
  </si>
  <si>
    <t>9.64</t>
  </si>
  <si>
    <t>9.65</t>
  </si>
  <si>
    <t>9.66</t>
  </si>
  <si>
    <t>9.67</t>
  </si>
  <si>
    <t>9.68</t>
  </si>
  <si>
    <t>9.69</t>
  </si>
  <si>
    <t>9.70</t>
  </si>
  <si>
    <t>9.71</t>
  </si>
  <si>
    <t>9.72</t>
  </si>
  <si>
    <t>9.73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</si>
  <si>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</si>
  <si>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</si>
  <si>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</si>
  <si>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</si>
  <si>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</si>
  <si>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</si>
  <si>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</si>
  <si>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</si>
  <si>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</si>
  <si>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</si>
  <si>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</si>
  <si>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</si>
  <si>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</si>
  <si>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</si>
  <si>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</si>
  <si>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</si>
  <si>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</si>
  <si>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</si>
  <si>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</si>
  <si>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</si>
  <si>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</si>
  <si>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</si>
  <si>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</si>
  <si>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</si>
  <si>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</si>
  <si>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</si>
  <si>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</si>
  <si>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</si>
  <si>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</si>
  <si>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</si>
  <si>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</si>
  <si>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</si>
  <si>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</si>
  <si>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</si>
  <si>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</si>
  <si>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</si>
  <si>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</si>
  <si>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</si>
  <si>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</si>
  <si>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</si>
  <si>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11.28</t>
  </si>
  <si>
    <t>11.29</t>
  </si>
  <si>
    <t>11.30</t>
  </si>
  <si>
    <t>11.31</t>
  </si>
  <si>
    <t>13.2</t>
  </si>
  <si>
    <t>13.3</t>
  </si>
  <si>
    <t>13.4</t>
  </si>
  <si>
    <t>14.5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</si>
  <si>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</si>
  <si>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</si>
  <si>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</si>
  <si>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</si>
  <si>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</si>
  <si>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</si>
  <si>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</si>
  <si>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</si>
  <si>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</si>
  <si>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</si>
  <si>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</si>
  <si>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14.17</t>
  </si>
  <si>
    <t>15.1</t>
  </si>
  <si>
    <t>16.1</t>
  </si>
  <si>
    <t>16.2</t>
  </si>
  <si>
    <t>16.3</t>
  </si>
  <si>
    <t>16.4</t>
  </si>
  <si>
    <t xml:space="preserve">LUMINÁRIA TIPO CALHA, DE EMBUTIR, COM 2 LÂMPADAS TUBULARES LED DE 18 W, SEM REATOR - FORNECIMENTO E INSTALAÇÃO. </t>
  </si>
  <si>
    <t>BASE 13463/ORSE</t>
  </si>
  <si>
    <t>07584</t>
  </si>
  <si>
    <t>BUCHA DE NYLON SEM ABA S12, COM PARAFUSO DE 5/16" X 80 MM EM ACO ZINCADO COM ROSCA SOBERBA E CABECA SEXTAVADA</t>
  </si>
  <si>
    <t>JULHO / 2025</t>
  </si>
  <si>
    <t xml:space="preserve">PLACA DE SINALIZAÇÃO DE VAGA EM AÇO GALVANIZADO E MONTANTE DE 1 1/2" </t>
  </si>
  <si>
    <t xml:space="preserve">TORNEIRA PARA LAVATÓRIO , DE MESA , CROMADA, BICA ALTA, REF: FLEX PLUS, 1167 C34, DA DECA OU SIMILAR , INCLUSIVE FURO PARA INSTALAÇÃO EM BACADA </t>
  </si>
  <si>
    <t>TORNEIRA DE MESA COM FECHAMENTO AUTOMÁTICO, LINHA DECAMATIC ECO, REF 1173.C, DECA OU SIMILAR</t>
  </si>
  <si>
    <t xml:space="preserve">CUBA INDUSTRIAL DE EMBUTIR 60X50X30CM </t>
  </si>
  <si>
    <t>BASE 7227/ORSE</t>
  </si>
  <si>
    <t xml:space="preserve">CUBA DE AÇO INOX 304, DIMENSÕES 60 X 50CM, PARA INSTALAÇÃO EM BANCADA, C/ VÁLVULA CROMADA (DECA REF 1623), SIFÃO  CROMADO (DECA REF C1680) E ENGATE DE PLÁSTICO OU SIMILARES EXCLUSIVE TORNEIRA CROMADA (DECA LINHA C40 REF1159) </t>
  </si>
  <si>
    <t>00006141</t>
  </si>
  <si>
    <t>00006157</t>
  </si>
  <si>
    <t>ENGATE/RABICHO FLEXIVEL PLASTICO (PVC OU ABS) BRANCO 1/2" X 30 CM</t>
  </si>
  <si>
    <t>VALVULA EM METAL CROMADO PARA PIA AMERICANA 3.1/2 X 1.1/2</t>
  </si>
  <si>
    <t>CUBA AÇO INOX 60 X 50 X 30 CM</t>
  </si>
  <si>
    <t>SIFÃO PARA PIA DE COZINHA OU TANQUE, DECA REF. 1680.C112, ACABAMENTO CROMADO 1 1/2 X 1 1/2 OU SIMILAR.</t>
  </si>
  <si>
    <t>BASE 03696/ORSE</t>
  </si>
  <si>
    <t>00981</t>
  </si>
  <si>
    <t>FITA VEDA ROSCA 18MM</t>
  </si>
  <si>
    <t>FURO EM BANCADA DE MÁRMORE OU GRANITO PARA COLACAÇÃO DE TORNEIRA OU VÁLVULA</t>
  </si>
  <si>
    <t>comercialalianca.com</t>
  </si>
  <si>
    <t>TORNEIRA PARA COZINHA DE MESA BICA MÓVEL DECA MAX CROMADO (1167.C34)</t>
  </si>
  <si>
    <t xml:space="preserve">TORNEIRA PARA LAVATÓRIO, DE MESA, CROMADA, BICA MÓVEL, COM AREJADOR, 1167 C34, DA DECA OU SIMILAR , INCLUSIVE FURO PARA INSTALAÇÃO EM BACADA </t>
  </si>
  <si>
    <t>FITA AUTO ADESIVA FOTOLUMINESCENTE 9M L=5,0CM OU SIMILAR ( Sinalizador de degraus fotoluminescente em pvc na cor amarelo - 20x3cm - 12 und x 0,20m</t>
  </si>
  <si>
    <t xml:space="preserve">COMUNICAÇÃO VISUAL E SINALIZAÇÃO </t>
  </si>
  <si>
    <t>13.5</t>
  </si>
  <si>
    <t>13.6</t>
  </si>
  <si>
    <t>PRÓPRIA</t>
  </si>
  <si>
    <t xml:space="preserve">PLACA DE SINALIZAÇÃO DE 0,50X0,70M DE VAGA EM AÇO GALVANIZADO E MONTANTE DE 1 1/2" </t>
  </si>
  <si>
    <t>CONFECÇÃO, MONTAGEM E INSTALAÇÃO DE PLACA DE SINALIZAÇÃO EM CHAPA DE AÇO GALVANIZADO Nº 18 (70X50 CM), COM 02 DEMÃOS DE FUNDO ANTI-CORROSIVO (SUPER GALVITE OU SIMILAR), 02 DEMÃOS DE ESMALTE E MENSAGEM EM PELÍCULA REFLETIVA, AUTO-ADESIVA</t>
  </si>
  <si>
    <t>UFBA/25009</t>
  </si>
  <si>
    <t>CONCRETO FCK = 15MPA, TRAÇO 1:3,4:3,4 (EM MASSA SECA DE CIMENTO/ AREIA MÉDIA/ SEIXO ROLADO) - PREPARO MANUAL. AF_05/2021</t>
  </si>
  <si>
    <t>MONTADOR DE ESTRUTURA METÁLICA COM ENCARGOS COMPLEMENTARES</t>
  </si>
  <si>
    <t>PINTURA COM TINTA ALQUÍDICA DE ACABAMENTO (ESMALTE SINTÉTICO FOSCO) PULVERIZADA SOBRE SUPERFÍCIES METÁLICAS (EXCETO PERFIL) EXECUTADO EM OBRA (POR DEMÃO). AF_01/2020_PE</t>
  </si>
  <si>
    <t>TUBO EM AÇO GALVANIZADO 1.1/2"</t>
  </si>
  <si>
    <t>D400000055</t>
  </si>
  <si>
    <t>FORNECIMENTO E INSTALAÇÃO DE SUPORTE METÁLICO GALVANIZADO PARA PLACAS DE SINALIZAÇÃO EM SOLO, COM H= DE 2,5 M E DIÂMETRO DE 1 1/2'. (BASE 103690/SINAPI)</t>
  </si>
  <si>
    <t>ESTIMATIVA ORÇAMENTÁRIA - Revisão 01</t>
  </si>
  <si>
    <t xml:space="preserve">ENGENHEIRO CIVIL DE OBRA JUNIOR COM ENCARGOS COMPLEMENTARES </t>
  </si>
  <si>
    <t xml:space="preserve">MOBILIÁRIO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</si>
</sst>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#,##0.000"/>
    <numFmt numFmtId="167" formatCode="0.0%"/>
    <numFmt numFmtId="168" formatCode="0.0000"/>
    <numFmt numFmtId="169" formatCode="#,"/>
    <numFmt numFmtId="170" formatCode="#,##0.00\ ;&quot; (&quot;#,##0.00\);&quot; -&quot;#\ ;@\ "/>
    <numFmt numFmtId="171" formatCode="dd/mm/yy;@"/>
    <numFmt numFmtId="172" formatCode="#,##0.00_ ;\-#,##0.00\ "/>
    <numFmt numFmtId="173" formatCode="d/m/yy\ h:mm;@"/>
    <numFmt numFmtId="174" formatCode="_(* #,##0.000_);_(* \(#,##0.000\);_(* &quot;-&quot;??_);_(@_)"/>
    <numFmt numFmtId="175" formatCode="_(* #,##0.0000_);_(* \(#,##0.0000\);_(* &quot;-&quot;??_);_(@_)"/>
  </numFmts>
  <fonts count="12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2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0"/>
      <name val="Courie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sz val="1"/>
      <color indexed="18"/>
      <name val="Courier"/>
      <family val="3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4"/>
      <name val="Arial Narrow"/>
      <family val="2"/>
    </font>
    <font>
      <sz val="12"/>
      <name val="Arial Narrow"/>
      <family val="2"/>
    </font>
    <font>
      <b/>
      <sz val="14"/>
      <name val="Arial Narrow"/>
      <family val="2"/>
    </font>
    <font>
      <b/>
      <sz val="16"/>
      <name val="Arial Narrow"/>
      <family val="2"/>
    </font>
    <font>
      <b/>
      <sz val="20"/>
      <name val="Arial Narrow"/>
      <family val="2"/>
    </font>
    <font>
      <sz val="10"/>
      <name val="Mangal"/>
      <family val="2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 Narrow"/>
      <family val="2"/>
    </font>
    <font>
      <b/>
      <sz val="10"/>
      <name val="Arial Narrow"/>
      <family val="2"/>
    </font>
    <font>
      <sz val="8"/>
      <name val="Arial"/>
      <family val="2"/>
    </font>
    <font>
      <sz val="14"/>
      <color indexed="8"/>
      <name val="Arial Narrow"/>
      <family val="2"/>
    </font>
    <font>
      <sz val="8"/>
      <name val="Arial Narrow"/>
      <family val="2"/>
    </font>
    <font>
      <b/>
      <sz val="16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24"/>
      <name val="Arial Narrow"/>
      <family val="2"/>
    </font>
    <font>
      <sz val="8"/>
      <name val="Comic Sans MS"/>
      <family val="4"/>
    </font>
    <font>
      <b/>
      <sz val="18"/>
      <name val="Arial Narrow"/>
      <family val="2"/>
    </font>
    <font>
      <sz val="16"/>
      <name val="Arial Narrow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8"/>
      <color theme="3"/>
      <name val="Cambria"/>
      <family val="2"/>
    </font>
    <font>
      <sz val="18"/>
      <color theme="3"/>
      <name val="Cambria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2"/>
      <color rgb="FFFF0000"/>
      <name val="Arial Narrow"/>
      <family val="2"/>
    </font>
    <font>
      <sz val="10"/>
      <color rgb="FFFF0000"/>
      <name val="Arial Narrow"/>
      <family val="2"/>
    </font>
    <font>
      <b/>
      <sz val="12"/>
      <color rgb="FFFF0000"/>
      <name val="Arial Narrow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4"/>
      <color rgb="FFFF0000"/>
      <name val="Arial Narrow"/>
      <family val="2"/>
    </font>
    <font>
      <sz val="14"/>
      <color rgb="FFFF0000"/>
      <name val="Arial Narrow"/>
      <family val="2"/>
    </font>
    <font>
      <b/>
      <sz val="16"/>
      <color rgb="FFFF0000"/>
      <name val="Arial Narrow"/>
      <family val="2"/>
    </font>
    <font>
      <sz val="9"/>
      <color rgb="FFFF0000"/>
      <name val="Arial Narrow"/>
      <family val="2"/>
    </font>
    <font>
      <b/>
      <sz val="10"/>
      <color rgb="FFFF0000"/>
      <name val="Arial Narrow"/>
      <family val="2"/>
    </font>
    <font>
      <b/>
      <sz val="9"/>
      <color rgb="FFFF0000"/>
      <name val="Arial Narrow"/>
      <family val="2"/>
    </font>
    <font>
      <b/>
      <sz val="10"/>
      <color rgb="FFFF0000"/>
      <name val="Arial"/>
      <family val="2"/>
    </font>
    <font>
      <sz val="10"/>
      <color rgb="FFFF0000"/>
      <name val="Courier New"/>
      <family val="3"/>
    </font>
    <font>
      <sz val="8"/>
      <color rgb="FFFF0000"/>
      <name val="Courier"/>
      <family val="3"/>
    </font>
    <font>
      <sz val="8"/>
      <color rgb="FFFF0000"/>
      <name val="Comic Sans MS"/>
      <family val="4"/>
    </font>
    <font>
      <sz val="10"/>
      <color rgb="FFFF0000"/>
      <name val="Comic Sans MS"/>
      <family val="4"/>
    </font>
    <font>
      <sz val="14"/>
      <color rgb="FFFF0000"/>
      <name val="Comic Sans MS"/>
      <family val="4"/>
    </font>
    <font>
      <b/>
      <sz val="10"/>
      <color rgb="FFFF0000"/>
      <name val="Comic Sans MS"/>
      <family val="4"/>
    </font>
    <font>
      <b/>
      <sz val="14"/>
      <color indexed="8"/>
      <name val="Arial Narrow"/>
      <family val="2"/>
    </font>
    <font>
      <b/>
      <sz val="10"/>
      <color rgb="FF0000FF"/>
      <name val="Arial"/>
      <family val="2"/>
    </font>
    <font>
      <b/>
      <sz val="10"/>
      <name val="Arial"/>
      <family val="2"/>
    </font>
    <font>
      <b/>
      <sz val="8"/>
      <name val="Courier"/>
      <family val="3"/>
    </font>
    <font>
      <sz val="8"/>
      <color indexed="8"/>
      <name val="Courier"/>
      <family val="3"/>
    </font>
    <font>
      <sz val="8"/>
      <name val="Courier"/>
      <family val="3"/>
    </font>
    <font>
      <sz val="11"/>
      <name val="Calibri"/>
      <family val="2"/>
      <scheme val="minor"/>
    </font>
    <font>
      <b/>
      <sz val="9"/>
      <name val="Arial Narrow"/>
      <family val="2"/>
    </font>
    <font>
      <sz val="16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sz val="13"/>
      <name val="Arial"/>
      <family val="2"/>
    </font>
    <font>
      <b/>
      <sz val="9"/>
      <name val="Arial"/>
      <family val="2"/>
    </font>
    <font>
      <b/>
      <strike/>
      <sz val="10"/>
      <name val="Arial"/>
      <family val="2"/>
    </font>
    <font>
      <sz val="10"/>
      <name val="Comic Sans MS"/>
      <family val="4"/>
    </font>
    <font>
      <sz val="14"/>
      <name val="Comic Sans MS"/>
      <family val="4"/>
    </font>
    <font>
      <sz val="9"/>
      <color indexed="8"/>
      <name val="Arial Narrow"/>
      <family val="2"/>
    </font>
    <font>
      <b/>
      <sz val="9"/>
      <color indexed="8"/>
      <name val="Arial Narrow"/>
      <family val="2"/>
    </font>
    <font>
      <sz val="14"/>
      <color theme="1"/>
      <name val="Arial Narrow"/>
      <family val="2"/>
    </font>
    <font>
      <b/>
      <sz val="14"/>
      <color theme="1"/>
      <name val="Arial Narrow"/>
      <family val="2"/>
    </font>
    <font>
      <b/>
      <sz val="14"/>
      <color rgb="FF000000"/>
      <name val="Arial Narrow"/>
      <family val="2"/>
    </font>
    <font>
      <b/>
      <sz val="8"/>
      <name val="Courier"/>
    </font>
    <font>
      <sz val="8"/>
      <color indexed="8"/>
      <name val="Courier"/>
    </font>
    <font>
      <sz val="8"/>
      <name val="Courier"/>
    </font>
    <font>
      <b/>
      <sz val="10"/>
      <name val="Comic Sans MS"/>
      <family val="4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64">
    <xf numFmtId="0" fontId="0" fillId="0" borderId="0"/>
    <xf numFmtId="0" fontId="2" fillId="0" borderId="0"/>
    <xf numFmtId="0" fontId="7" fillId="2" borderId="0" applyNumberFormat="0" applyBorder="0" applyAlignment="0" applyProtection="0"/>
    <xf numFmtId="0" fontId="54" fillId="26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54" fillId="27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54" fillId="28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54" fillId="2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54" fillId="30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54" fillId="31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54" fillId="32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54" fillId="3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54" fillId="3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54" fillId="3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54" fillId="36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54" fillId="37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55" fillId="38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55" fillId="3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55" fillId="4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55" fillId="4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55" fillId="42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55" fillId="43" borderId="0" applyNumberFormat="0" applyBorder="0" applyAlignment="0" applyProtection="0"/>
    <xf numFmtId="0" fontId="8" fillId="15" borderId="0" applyNumberFormat="0" applyBorder="0" applyAlignment="0" applyProtection="0"/>
    <xf numFmtId="0" fontId="9" fillId="4" borderId="0" applyNumberFormat="0" applyBorder="0" applyAlignment="0" applyProtection="0"/>
    <xf numFmtId="0" fontId="56" fillId="44" borderId="0" applyNumberFormat="0" applyBorder="0" applyAlignment="0" applyProtection="0"/>
    <xf numFmtId="0" fontId="9" fillId="4" borderId="0" applyNumberFormat="0" applyBorder="0" applyAlignment="0" applyProtection="0"/>
    <xf numFmtId="0" fontId="10" fillId="16" borderId="1" applyNumberFormat="0" applyAlignment="0" applyProtection="0"/>
    <xf numFmtId="0" fontId="57" fillId="45" borderId="65" applyNumberFormat="0" applyAlignment="0" applyProtection="0"/>
    <xf numFmtId="0" fontId="10" fillId="16" borderId="1" applyNumberFormat="0" applyAlignment="0" applyProtection="0"/>
    <xf numFmtId="0" fontId="11" fillId="17" borderId="2" applyNumberFormat="0" applyAlignment="0" applyProtection="0"/>
    <xf numFmtId="0" fontId="58" fillId="46" borderId="66" applyNumberFormat="0" applyAlignment="0" applyProtection="0"/>
    <xf numFmtId="0" fontId="11" fillId="17" borderId="2" applyNumberFormat="0" applyAlignment="0" applyProtection="0"/>
    <xf numFmtId="0" fontId="12" fillId="0" borderId="3" applyNumberFormat="0" applyFill="0" applyAlignment="0" applyProtection="0"/>
    <xf numFmtId="0" fontId="59" fillId="0" borderId="67" applyNumberFormat="0" applyFill="0" applyAlignment="0" applyProtection="0"/>
    <xf numFmtId="0" fontId="12" fillId="0" borderId="3" applyNumberFormat="0" applyFill="0" applyAlignment="0" applyProtection="0"/>
    <xf numFmtId="0" fontId="8" fillId="18" borderId="0" applyNumberFormat="0" applyBorder="0" applyAlignment="0" applyProtection="0"/>
    <xf numFmtId="0" fontId="55" fillId="4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55" fillId="4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55" fillId="49" borderId="0" applyNumberFormat="0" applyBorder="0" applyAlignment="0" applyProtection="0"/>
    <xf numFmtId="0" fontId="8" fillId="20" borderId="0" applyNumberFormat="0" applyBorder="0" applyAlignment="0" applyProtection="0"/>
    <xf numFmtId="0" fontId="8" fillId="13" borderId="0" applyNumberFormat="0" applyBorder="0" applyAlignment="0" applyProtection="0"/>
    <xf numFmtId="0" fontId="55" fillId="5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55" fillId="51" borderId="0" applyNumberFormat="0" applyBorder="0" applyAlignment="0" applyProtection="0"/>
    <xf numFmtId="0" fontId="8" fillId="14" borderId="0" applyNumberFormat="0" applyBorder="0" applyAlignment="0" applyProtection="0"/>
    <xf numFmtId="0" fontId="8" fillId="21" borderId="0" applyNumberFormat="0" applyBorder="0" applyAlignment="0" applyProtection="0"/>
    <xf numFmtId="0" fontId="55" fillId="52" borderId="0" applyNumberFormat="0" applyBorder="0" applyAlignment="0" applyProtection="0"/>
    <xf numFmtId="0" fontId="8" fillId="21" borderId="0" applyNumberFormat="0" applyBorder="0" applyAlignment="0" applyProtection="0"/>
    <xf numFmtId="0" fontId="13" fillId="7" borderId="1" applyNumberFormat="0" applyAlignment="0" applyProtection="0"/>
    <xf numFmtId="0" fontId="60" fillId="53" borderId="65" applyNumberFormat="0" applyAlignment="0" applyProtection="0"/>
    <xf numFmtId="0" fontId="13" fillId="7" borderId="1" applyNumberFormat="0" applyAlignment="0" applyProtection="0"/>
    <xf numFmtId="0" fontId="3" fillId="0" borderId="0" applyNumberFormat="0" applyFill="0" applyBorder="0" applyAlignment="0" applyProtection="0"/>
    <xf numFmtId="0" fontId="61" fillId="54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62" fillId="0" borderId="0" applyFont="0" applyFill="0" applyBorder="0" applyAlignment="0" applyProtection="0"/>
    <xf numFmtId="44" fontId="6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3" fillId="55" borderId="0" applyNumberFormat="0" applyBorder="0" applyAlignment="0" applyProtection="0"/>
    <xf numFmtId="0" fontId="16" fillId="22" borderId="0" applyNumberFormat="0" applyBorder="0" applyAlignment="0" applyProtection="0"/>
    <xf numFmtId="0" fontId="54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39" fontId="15" fillId="0" borderId="0"/>
    <xf numFmtId="0" fontId="54" fillId="0" borderId="0"/>
    <xf numFmtId="0" fontId="7" fillId="0" borderId="0"/>
    <xf numFmtId="0" fontId="2" fillId="0" borderId="0"/>
    <xf numFmtId="0" fontId="2" fillId="0" borderId="0"/>
    <xf numFmtId="0" fontId="64" fillId="0" borderId="0"/>
    <xf numFmtId="0" fontId="1" fillId="0" borderId="0"/>
    <xf numFmtId="0" fontId="37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5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7" fillId="0" borderId="0"/>
    <xf numFmtId="0" fontId="64" fillId="0" borderId="0"/>
    <xf numFmtId="0" fontId="34" fillId="0" borderId="0"/>
    <xf numFmtId="0" fontId="6" fillId="23" borderId="4" applyNumberFormat="0" applyFont="0" applyAlignment="0" applyProtection="0"/>
    <xf numFmtId="0" fontId="2" fillId="23" borderId="4" applyNumberFormat="0" applyFont="0" applyAlignment="0" applyProtection="0"/>
    <xf numFmtId="0" fontId="7" fillId="56" borderId="68" applyNumberFormat="0" applyFont="0" applyAlignment="0" applyProtection="0"/>
    <xf numFmtId="0" fontId="2" fillId="23" borderId="4" applyNumberFormat="0" applyFont="0" applyAlignment="0" applyProtection="0"/>
    <xf numFmtId="0" fontId="7" fillId="56" borderId="68" applyNumberFormat="0" applyFont="0" applyAlignment="0" applyProtection="0"/>
    <xf numFmtId="0" fontId="7" fillId="56" borderId="68" applyNumberFormat="0" applyFont="0" applyAlignment="0" applyProtection="0"/>
    <xf numFmtId="0" fontId="7" fillId="56" borderId="68" applyNumberFormat="0" applyFont="0" applyAlignment="0" applyProtection="0"/>
    <xf numFmtId="0" fontId="54" fillId="56" borderId="68" applyNumberFormat="0" applyFont="0" applyAlignment="0" applyProtection="0"/>
    <xf numFmtId="0" fontId="7" fillId="56" borderId="68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8" fillId="16" borderId="5" applyNumberFormat="0" applyAlignment="0" applyProtection="0"/>
    <xf numFmtId="0" fontId="65" fillId="45" borderId="69" applyNumberFormat="0" applyAlignment="0" applyProtection="0"/>
    <xf numFmtId="0" fontId="18" fillId="16" borderId="5" applyNumberFormat="0" applyAlignment="0" applyProtection="0"/>
    <xf numFmtId="169" fontId="19" fillId="0" borderId="0">
      <protection locked="0"/>
    </xf>
    <xf numFmtId="165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68" fillId="0" borderId="70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69" fillId="0" borderId="71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70" fillId="0" borderId="72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75" fillId="0" borderId="73" applyNumberFormat="0" applyFill="0" applyAlignment="0" applyProtection="0"/>
    <xf numFmtId="0" fontId="26" fillId="0" borderId="9" applyNumberFormat="0" applyFill="0" applyAlignment="0" applyProtection="0"/>
    <xf numFmtId="165" fontId="2" fillId="0" borderId="0" applyFont="0" applyFill="0" applyBorder="0" applyAlignment="0" applyProtection="0"/>
    <xf numFmtId="170" fontId="32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32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54" fillId="0" borderId="0" applyFont="0" applyFill="0" applyBorder="0" applyAlignment="0" applyProtection="0"/>
    <xf numFmtId="165" fontId="5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87">
    <xf numFmtId="0" fontId="0" fillId="0" borderId="0" xfId="0"/>
    <xf numFmtId="49" fontId="28" fillId="0" borderId="0" xfId="142" applyNumberFormat="1" applyFont="1" applyAlignment="1" applyProtection="1">
      <alignment vertical="distributed" wrapText="1"/>
      <protection locked="0"/>
    </xf>
    <xf numFmtId="49" fontId="28" fillId="0" borderId="0" xfId="142" applyNumberFormat="1" applyFont="1" applyAlignment="1" applyProtection="1">
      <alignment horizontal="center" wrapText="1"/>
      <protection locked="0"/>
    </xf>
    <xf numFmtId="165" fontId="76" fillId="0" borderId="10" xfId="250" applyFont="1" applyBorder="1" applyAlignment="1"/>
    <xf numFmtId="165" fontId="77" fillId="0" borderId="0" xfId="250" applyFont="1" applyAlignment="1"/>
    <xf numFmtId="165" fontId="28" fillId="0" borderId="0" xfId="250" applyFont="1" applyBorder="1" applyAlignment="1"/>
    <xf numFmtId="0" fontId="77" fillId="0" borderId="0" xfId="120" applyFont="1" applyAlignment="1">
      <alignment vertical="center"/>
    </xf>
    <xf numFmtId="0" fontId="77" fillId="0" borderId="0" xfId="250" applyNumberFormat="1" applyFont="1" applyAlignment="1">
      <alignment horizontal="center" vertical="center"/>
    </xf>
    <xf numFmtId="0" fontId="77" fillId="0" borderId="0" xfId="120" applyFont="1" applyAlignment="1">
      <alignment vertical="distributed" wrapText="1"/>
    </xf>
    <xf numFmtId="165" fontId="77" fillId="0" borderId="0" xfId="250" applyFont="1" applyAlignment="1">
      <alignment horizontal="center"/>
    </xf>
    <xf numFmtId="0" fontId="5" fillId="0" borderId="0" xfId="120" applyFont="1" applyAlignment="1">
      <alignment vertical="center"/>
    </xf>
    <xf numFmtId="165" fontId="5" fillId="0" borderId="0" xfId="250" applyFont="1" applyBorder="1" applyAlignment="1"/>
    <xf numFmtId="165" fontId="5" fillId="0" borderId="15" xfId="250" applyFont="1" applyBorder="1" applyAlignment="1"/>
    <xf numFmtId="0" fontId="79" fillId="0" borderId="0" xfId="161" applyFont="1"/>
    <xf numFmtId="0" fontId="80" fillId="0" borderId="0" xfId="0" applyFont="1"/>
    <xf numFmtId="0" fontId="81" fillId="0" borderId="0" xfId="0" applyFont="1"/>
    <xf numFmtId="4" fontId="27" fillId="0" borderId="22" xfId="250" applyNumberFormat="1" applyFont="1" applyFill="1" applyBorder="1" applyAlignment="1">
      <alignment horizontal="right"/>
    </xf>
    <xf numFmtId="10" fontId="43" fillId="0" borderId="0" xfId="179" applyNumberFormat="1" applyFont="1" applyFill="1" applyBorder="1" applyAlignment="1">
      <alignment horizontal="center"/>
    </xf>
    <xf numFmtId="0" fontId="44" fillId="0" borderId="15" xfId="161" applyFont="1" applyBorder="1"/>
    <xf numFmtId="0" fontId="45" fillId="0" borderId="23" xfId="161" applyFont="1" applyBorder="1"/>
    <xf numFmtId="0" fontId="46" fillId="0" borderId="0" xfId="161" applyFont="1"/>
    <xf numFmtId="0" fontId="45" fillId="0" borderId="11" xfId="161" applyFont="1" applyBorder="1"/>
    <xf numFmtId="0" fontId="47" fillId="0" borderId="0" xfId="161" applyFont="1"/>
    <xf numFmtId="0" fontId="34" fillId="0" borderId="13" xfId="161" applyFont="1" applyBorder="1"/>
    <xf numFmtId="0" fontId="34" fillId="0" borderId="0" xfId="161" applyFont="1"/>
    <xf numFmtId="0" fontId="41" fillId="0" borderId="11" xfId="161" applyFont="1" applyBorder="1"/>
    <xf numFmtId="49" fontId="48" fillId="0" borderId="0" xfId="142" applyNumberFormat="1" applyFont="1" applyAlignment="1" applyProtection="1">
      <alignment vertical="distributed" wrapText="1"/>
      <protection locked="0"/>
    </xf>
    <xf numFmtId="0" fontId="45" fillId="0" borderId="11" xfId="204" applyNumberFormat="1" applyFont="1" applyBorder="1" applyAlignment="1" applyProtection="1">
      <alignment vertical="center" wrapText="1"/>
      <protection locked="0"/>
    </xf>
    <xf numFmtId="0" fontId="39" fillId="0" borderId="0" xfId="0" applyFont="1" applyAlignment="1">
      <alignment vertical="center"/>
    </xf>
    <xf numFmtId="0" fontId="27" fillId="0" borderId="37" xfId="250" applyNumberFormat="1" applyFont="1" applyFill="1" applyBorder="1" applyAlignment="1">
      <alignment horizontal="center" vertical="center"/>
    </xf>
    <xf numFmtId="10" fontId="40" fillId="0" borderId="15" xfId="179" applyNumberFormat="1" applyFont="1" applyBorder="1" applyAlignment="1">
      <alignment horizontal="center" vertical="center"/>
    </xf>
    <xf numFmtId="10" fontId="5" fillId="0" borderId="15" xfId="179" applyNumberFormat="1" applyFont="1" applyBorder="1" applyAlignment="1"/>
    <xf numFmtId="0" fontId="50" fillId="0" borderId="15" xfId="116" applyFont="1" applyBorder="1"/>
    <xf numFmtId="0" fontId="50" fillId="0" borderId="23" xfId="116" applyFont="1" applyBorder="1"/>
    <xf numFmtId="0" fontId="50" fillId="0" borderId="0" xfId="116" applyFont="1"/>
    <xf numFmtId="0" fontId="50" fillId="0" borderId="0" xfId="116" applyFont="1" applyAlignment="1">
      <alignment horizontal="center"/>
    </xf>
    <xf numFmtId="10" fontId="40" fillId="0" borderId="0" xfId="179" applyNumberFormat="1" applyFont="1" applyBorder="1" applyAlignment="1">
      <alignment horizontal="center" vertical="center"/>
    </xf>
    <xf numFmtId="10" fontId="5" fillId="0" borderId="0" xfId="179" applyNumberFormat="1" applyFont="1" applyBorder="1" applyAlignment="1"/>
    <xf numFmtId="0" fontId="50" fillId="0" borderId="11" xfId="116" applyFont="1" applyBorder="1"/>
    <xf numFmtId="0" fontId="50" fillId="0" borderId="0" xfId="116" applyFont="1" applyAlignment="1">
      <alignment vertical="distributed"/>
    </xf>
    <xf numFmtId="0" fontId="50" fillId="0" borderId="11" xfId="116" applyFont="1" applyBorder="1" applyAlignment="1">
      <alignment vertical="distributed"/>
    </xf>
    <xf numFmtId="0" fontId="30" fillId="0" borderId="14" xfId="204" applyNumberFormat="1" applyFont="1" applyFill="1" applyBorder="1" applyAlignment="1" applyProtection="1">
      <alignment vertical="center"/>
      <protection locked="0"/>
    </xf>
    <xf numFmtId="49" fontId="28" fillId="0" borderId="0" xfId="142" applyNumberFormat="1" applyFont="1" applyAlignment="1" applyProtection="1">
      <alignment wrapText="1"/>
      <protection locked="0"/>
    </xf>
    <xf numFmtId="0" fontId="34" fillId="0" borderId="23" xfId="161" applyFont="1" applyBorder="1"/>
    <xf numFmtId="0" fontId="34" fillId="0" borderId="11" xfId="161" applyFont="1" applyBorder="1"/>
    <xf numFmtId="0" fontId="78" fillId="0" borderId="0" xfId="122" applyFont="1" applyAlignment="1">
      <alignment vertical="distributed" wrapText="1"/>
    </xf>
    <xf numFmtId="165" fontId="79" fillId="0" borderId="0" xfId="250" applyFont="1"/>
    <xf numFmtId="165" fontId="80" fillId="0" borderId="0" xfId="250" applyFont="1"/>
    <xf numFmtId="0" fontId="1" fillId="0" borderId="0" xfId="120" applyFont="1"/>
    <xf numFmtId="49" fontId="47" fillId="0" borderId="0" xfId="142" applyNumberFormat="1" applyFont="1" applyAlignment="1" applyProtection="1">
      <alignment wrapText="1"/>
      <protection locked="0"/>
    </xf>
    <xf numFmtId="49" fontId="28" fillId="0" borderId="0" xfId="142" applyNumberFormat="1" applyFont="1" applyAlignment="1" applyProtection="1">
      <alignment horizontal="left" wrapText="1"/>
      <protection locked="0"/>
    </xf>
    <xf numFmtId="49" fontId="28" fillId="0" borderId="13" xfId="142" applyNumberFormat="1" applyFont="1" applyBorder="1" applyAlignment="1" applyProtection="1">
      <alignment horizontal="left" vertical="center" wrapText="1"/>
      <protection locked="0"/>
    </xf>
    <xf numFmtId="49" fontId="28" fillId="0" borderId="0" xfId="142" applyNumberFormat="1" applyFont="1" applyAlignment="1" applyProtection="1">
      <alignment horizontal="left" vertical="center" wrapText="1"/>
      <protection locked="0"/>
    </xf>
    <xf numFmtId="49" fontId="48" fillId="0" borderId="13" xfId="142" applyNumberFormat="1" applyFont="1" applyBorder="1" applyAlignment="1" applyProtection="1">
      <alignment horizontal="left" vertical="center" wrapText="1"/>
      <protection locked="0"/>
    </xf>
    <xf numFmtId="49" fontId="48" fillId="0" borderId="0" xfId="142" applyNumberFormat="1" applyFont="1" applyAlignment="1" applyProtection="1">
      <alignment horizontal="left" vertical="center" wrapText="1"/>
      <protection locked="0"/>
    </xf>
    <xf numFmtId="49" fontId="52" fillId="0" borderId="13" xfId="142" applyNumberFormat="1" applyFont="1" applyBorder="1" applyAlignment="1" applyProtection="1">
      <alignment horizontal="left" vertical="center" wrapText="1"/>
      <protection locked="0"/>
    </xf>
    <xf numFmtId="49" fontId="52" fillId="0" borderId="0" xfId="142" applyNumberFormat="1" applyFont="1" applyAlignment="1" applyProtection="1">
      <alignment horizontal="left" vertical="center" wrapText="1"/>
      <protection locked="0"/>
    </xf>
    <xf numFmtId="165" fontId="80" fillId="0" borderId="0" xfId="250" applyFont="1" applyFill="1"/>
    <xf numFmtId="0" fontId="41" fillId="0" borderId="11" xfId="161" applyFont="1" applyBorder="1" applyAlignment="1">
      <alignment horizontal="center"/>
    </xf>
    <xf numFmtId="22" fontId="41" fillId="0" borderId="41" xfId="161" applyNumberFormat="1" applyFont="1" applyBorder="1" applyAlignment="1">
      <alignment horizontal="center"/>
    </xf>
    <xf numFmtId="0" fontId="85" fillId="0" borderId="0" xfId="120" applyFont="1" applyAlignment="1">
      <alignment vertical="center"/>
    </xf>
    <xf numFmtId="4" fontId="83" fillId="0" borderId="0" xfId="250" applyNumberFormat="1" applyFont="1" applyFill="1" applyBorder="1" applyAlignment="1">
      <alignment horizontal="right"/>
    </xf>
    <xf numFmtId="0" fontId="85" fillId="0" borderId="0" xfId="0" applyFont="1" applyAlignment="1">
      <alignment vertical="center"/>
    </xf>
    <xf numFmtId="0" fontId="87" fillId="0" borderId="0" xfId="0" applyFont="1" applyAlignment="1">
      <alignment vertical="center"/>
    </xf>
    <xf numFmtId="0" fontId="87" fillId="0" borderId="0" xfId="120" applyFont="1" applyAlignment="1">
      <alignment vertical="center"/>
    </xf>
    <xf numFmtId="0" fontId="89" fillId="0" borderId="0" xfId="0" applyFont="1"/>
    <xf numFmtId="0" fontId="91" fillId="0" borderId="0" xfId="116" applyFont="1"/>
    <xf numFmtId="0" fontId="91" fillId="0" borderId="0" xfId="116" applyFont="1" applyAlignment="1">
      <alignment horizontal="center"/>
    </xf>
    <xf numFmtId="0" fontId="91" fillId="0" borderId="0" xfId="116" applyFont="1" applyAlignment="1">
      <alignment vertical="distributed"/>
    </xf>
    <xf numFmtId="0" fontId="84" fillId="0" borderId="10" xfId="204" applyNumberFormat="1" applyFont="1" applyFill="1" applyBorder="1" applyAlignment="1" applyProtection="1">
      <alignment vertical="center"/>
      <protection locked="0"/>
    </xf>
    <xf numFmtId="49" fontId="78" fillId="0" borderId="10" xfId="142" applyNumberFormat="1" applyFont="1" applyBorder="1" applyAlignment="1" applyProtection="1">
      <alignment horizontal="center" wrapText="1"/>
      <protection locked="0"/>
    </xf>
    <xf numFmtId="39" fontId="78" fillId="0" borderId="10" xfId="95" applyNumberFormat="1" applyFont="1" applyFill="1" applyBorder="1" applyAlignment="1" applyProtection="1">
      <alignment wrapText="1"/>
      <protection locked="0"/>
    </xf>
    <xf numFmtId="0" fontId="91" fillId="0" borderId="0" xfId="116" applyFont="1" applyAlignment="1">
      <alignment horizontal="right"/>
    </xf>
    <xf numFmtId="9" fontId="92" fillId="0" borderId="0" xfId="116" applyNumberFormat="1" applyFont="1"/>
    <xf numFmtId="10" fontId="92" fillId="0" borderId="0" xfId="250" applyNumberFormat="1" applyFont="1" applyFill="1" applyAlignment="1">
      <alignment horizontal="center"/>
    </xf>
    <xf numFmtId="0" fontId="92" fillId="0" borderId="0" xfId="116" applyFont="1" applyAlignment="1">
      <alignment horizontal="center"/>
    </xf>
    <xf numFmtId="165" fontId="92" fillId="0" borderId="0" xfId="116" applyNumberFormat="1" applyFont="1"/>
    <xf numFmtId="10" fontId="92" fillId="0" borderId="0" xfId="116" applyNumberFormat="1" applyFont="1"/>
    <xf numFmtId="0" fontId="92" fillId="0" borderId="0" xfId="116" applyFont="1"/>
    <xf numFmtId="9" fontId="93" fillId="0" borderId="0" xfId="116" applyNumberFormat="1" applyFont="1"/>
    <xf numFmtId="0" fontId="93" fillId="0" borderId="0" xfId="116" applyFont="1"/>
    <xf numFmtId="0" fontId="94" fillId="0" borderId="0" xfId="116" applyFont="1"/>
    <xf numFmtId="0" fontId="94" fillId="0" borderId="0" xfId="116" applyFont="1" applyAlignment="1">
      <alignment horizontal="right"/>
    </xf>
    <xf numFmtId="0" fontId="77" fillId="0" borderId="13" xfId="116" applyFont="1" applyBorder="1" applyAlignment="1">
      <alignment horizontal="center" vertical="center"/>
    </xf>
    <xf numFmtId="0" fontId="77" fillId="0" borderId="0" xfId="116" applyFont="1"/>
    <xf numFmtId="165" fontId="77" fillId="0" borderId="0" xfId="250" applyFont="1" applyFill="1" applyBorder="1" applyAlignment="1">
      <alignment horizontal="center" vertical="center"/>
    </xf>
    <xf numFmtId="4" fontId="77" fillId="0" borderId="0" xfId="250" applyNumberFormat="1" applyFont="1" applyFill="1" applyBorder="1" applyAlignment="1">
      <alignment horizontal="center"/>
    </xf>
    <xf numFmtId="165" fontId="77" fillId="0" borderId="0" xfId="250" applyFont="1" applyFill="1" applyBorder="1" applyAlignment="1">
      <alignment horizontal="right"/>
    </xf>
    <xf numFmtId="165" fontId="77" fillId="0" borderId="0" xfId="116" applyNumberFormat="1" applyFont="1"/>
    <xf numFmtId="165" fontId="77" fillId="0" borderId="11" xfId="116" applyNumberFormat="1" applyFont="1" applyBorder="1"/>
    <xf numFmtId="0" fontId="77" fillId="0" borderId="11" xfId="116" applyFont="1" applyBorder="1"/>
    <xf numFmtId="0" fontId="86" fillId="0" borderId="0" xfId="116" applyFont="1"/>
    <xf numFmtId="0" fontId="86" fillId="0" borderId="11" xfId="116" applyFont="1" applyBorder="1"/>
    <xf numFmtId="165" fontId="86" fillId="0" borderId="0" xfId="250" applyFont="1" applyFill="1" applyBorder="1" applyAlignment="1">
      <alignment horizontal="center" vertical="center"/>
    </xf>
    <xf numFmtId="165" fontId="86" fillId="0" borderId="11" xfId="116" applyNumberFormat="1" applyFont="1" applyBorder="1"/>
    <xf numFmtId="165" fontId="86" fillId="0" borderId="0" xfId="116" applyNumberFormat="1" applyFont="1"/>
    <xf numFmtId="0" fontId="77" fillId="0" borderId="14" xfId="116" applyFont="1" applyBorder="1" applyAlignment="1">
      <alignment horizontal="center" vertical="center"/>
    </xf>
    <xf numFmtId="0" fontId="77" fillId="0" borderId="10" xfId="116" applyFont="1" applyBorder="1"/>
    <xf numFmtId="165" fontId="77" fillId="0" borderId="10" xfId="250" applyFont="1" applyFill="1" applyBorder="1" applyAlignment="1">
      <alignment horizontal="center" vertical="center"/>
    </xf>
    <xf numFmtId="4" fontId="77" fillId="0" borderId="10" xfId="250" applyNumberFormat="1" applyFont="1" applyFill="1" applyBorder="1" applyAlignment="1">
      <alignment horizontal="center"/>
    </xf>
    <xf numFmtId="165" fontId="77" fillId="0" borderId="10" xfId="250" applyFont="1" applyFill="1" applyBorder="1" applyAlignment="1">
      <alignment horizontal="right"/>
    </xf>
    <xf numFmtId="0" fontId="77" fillId="0" borderId="12" xfId="116" applyFont="1" applyBorder="1"/>
    <xf numFmtId="0" fontId="77" fillId="0" borderId="0" xfId="116" applyFont="1" applyAlignment="1">
      <alignment horizontal="center" vertical="center"/>
    </xf>
    <xf numFmtId="165" fontId="77" fillId="0" borderId="0" xfId="250" applyFont="1" applyFill="1" applyAlignment="1">
      <alignment horizontal="center" vertical="center"/>
    </xf>
    <xf numFmtId="4" fontId="77" fillId="0" borderId="0" xfId="250" applyNumberFormat="1" applyFont="1" applyFill="1" applyAlignment="1">
      <alignment horizontal="center"/>
    </xf>
    <xf numFmtId="165" fontId="77" fillId="0" borderId="0" xfId="250" applyFont="1" applyFill="1" applyAlignment="1">
      <alignment horizontal="right"/>
    </xf>
    <xf numFmtId="0" fontId="77" fillId="0" borderId="43" xfId="116" applyFont="1" applyBorder="1" applyAlignment="1">
      <alignment horizontal="center" vertical="center"/>
    </xf>
    <xf numFmtId="0" fontId="77" fillId="0" borderId="15" xfId="116" applyFont="1" applyBorder="1"/>
    <xf numFmtId="165" fontId="77" fillId="0" borderId="15" xfId="250" applyFont="1" applyFill="1" applyBorder="1" applyAlignment="1">
      <alignment horizontal="center" vertical="center"/>
    </xf>
    <xf numFmtId="4" fontId="77" fillId="0" borderId="15" xfId="250" applyNumberFormat="1" applyFont="1" applyFill="1" applyBorder="1" applyAlignment="1">
      <alignment horizontal="center"/>
    </xf>
    <xf numFmtId="165" fontId="77" fillId="0" borderId="15" xfId="250" applyFont="1" applyFill="1" applyBorder="1" applyAlignment="1">
      <alignment horizontal="right"/>
    </xf>
    <xf numFmtId="0" fontId="77" fillId="0" borderId="23" xfId="116" applyFont="1" applyBorder="1"/>
    <xf numFmtId="10" fontId="77" fillId="0" borderId="0" xfId="250" applyNumberFormat="1" applyFont="1" applyFill="1" applyAlignment="1">
      <alignment horizontal="center" vertical="center"/>
    </xf>
    <xf numFmtId="0" fontId="91" fillId="0" borderId="0" xfId="116" applyFont="1" applyAlignment="1">
      <alignment horizontal="center" vertical="center"/>
    </xf>
    <xf numFmtId="165" fontId="91" fillId="0" borderId="0" xfId="250" applyFont="1" applyFill="1" applyAlignment="1">
      <alignment horizontal="center" vertical="center"/>
    </xf>
    <xf numFmtId="4" fontId="91" fillId="0" borderId="0" xfId="250" applyNumberFormat="1" applyFont="1" applyFill="1" applyAlignment="1">
      <alignment horizontal="center"/>
    </xf>
    <xf numFmtId="165" fontId="91" fillId="0" borderId="0" xfId="250" applyFont="1" applyFill="1" applyAlignment="1">
      <alignment horizontal="right"/>
    </xf>
    <xf numFmtId="165" fontId="30" fillId="0" borderId="15" xfId="250" applyFont="1" applyFill="1" applyBorder="1" applyAlignment="1" applyProtection="1">
      <alignment horizontal="center" vertical="center" wrapText="1"/>
      <protection locked="0"/>
    </xf>
    <xf numFmtId="165" fontId="30" fillId="0" borderId="0" xfId="250" applyFont="1" applyFill="1" applyBorder="1" applyAlignment="1" applyProtection="1">
      <alignment horizontal="center" vertical="center" wrapText="1"/>
      <protection locked="0"/>
    </xf>
    <xf numFmtId="165" fontId="4" fillId="0" borderId="0" xfId="250" applyFont="1" applyFill="1" applyBorder="1" applyAlignment="1" applyProtection="1">
      <alignment horizontal="center" vertical="center" wrapText="1"/>
      <protection locked="0"/>
    </xf>
    <xf numFmtId="165" fontId="4" fillId="0" borderId="0" xfId="250" applyFont="1" applyFill="1" applyBorder="1" applyAlignment="1" applyProtection="1">
      <alignment horizontal="center" wrapText="1"/>
      <protection locked="0"/>
    </xf>
    <xf numFmtId="0" fontId="45" fillId="0" borderId="15" xfId="161" applyFont="1" applyBorder="1"/>
    <xf numFmtId="165" fontId="34" fillId="0" borderId="0" xfId="250" applyFont="1"/>
    <xf numFmtId="0" fontId="45" fillId="0" borderId="0" xfId="161" applyFont="1"/>
    <xf numFmtId="0" fontId="41" fillId="0" borderId="0" xfId="161" applyFont="1"/>
    <xf numFmtId="0" fontId="45" fillId="0" borderId="0" xfId="204" applyNumberFormat="1" applyFont="1" applyAlignment="1" applyProtection="1">
      <alignment vertical="center" wrapText="1"/>
      <protection locked="0"/>
    </xf>
    <xf numFmtId="0" fontId="42" fillId="0" borderId="22" xfId="0" applyFont="1" applyBorder="1" applyAlignment="1">
      <alignment vertical="distributed" wrapText="1"/>
    </xf>
    <xf numFmtId="43" fontId="42" fillId="0" borderId="22" xfId="310" applyFont="1" applyBorder="1" applyAlignment="1">
      <alignment horizontal="center"/>
    </xf>
    <xf numFmtId="43" fontId="42" fillId="0" borderId="35" xfId="310" applyFont="1" applyBorder="1" applyAlignment="1">
      <alignment horizontal="center"/>
    </xf>
    <xf numFmtId="0" fontId="42" fillId="0" borderId="22" xfId="358" applyFont="1" applyBorder="1" applyAlignment="1">
      <alignment vertical="distributed" wrapText="1"/>
    </xf>
    <xf numFmtId="0" fontId="27" fillId="0" borderId="22" xfId="358" applyFont="1" applyBorder="1" applyAlignment="1">
      <alignment vertical="distributed" wrapText="1"/>
    </xf>
    <xf numFmtId="0" fontId="41" fillId="0" borderId="0" xfId="0" applyFont="1"/>
    <xf numFmtId="0" fontId="1" fillId="0" borderId="0" xfId="0" applyFont="1"/>
    <xf numFmtId="0" fontId="99" fillId="25" borderId="22" xfId="168" applyFont="1" applyFill="1" applyBorder="1" applyAlignment="1">
      <alignment horizontal="center" vertical="center" wrapText="1"/>
    </xf>
    <xf numFmtId="0" fontId="99" fillId="25" borderId="22" xfId="168" applyFont="1" applyFill="1" applyBorder="1" applyAlignment="1">
      <alignment horizontal="left" vertical="center" wrapText="1"/>
    </xf>
    <xf numFmtId="165" fontId="100" fillId="0" borderId="22" xfId="250" applyFont="1" applyBorder="1" applyAlignment="1">
      <alignment horizontal="center" vertical="center" wrapText="1"/>
    </xf>
    <xf numFmtId="0" fontId="100" fillId="0" borderId="22" xfId="167" applyFont="1" applyBorder="1" applyAlignment="1">
      <alignment horizontal="center" vertical="center" wrapText="1"/>
    </xf>
    <xf numFmtId="0" fontId="100" fillId="0" borderId="22" xfId="167" applyFont="1" applyBorder="1" applyAlignment="1">
      <alignment horizontal="left" vertical="center" wrapText="1"/>
    </xf>
    <xf numFmtId="165" fontId="100" fillId="0" borderId="22" xfId="250" applyFont="1" applyFill="1" applyBorder="1" applyAlignment="1">
      <alignment horizontal="center" vertical="center" wrapText="1"/>
    </xf>
    <xf numFmtId="10" fontId="39" fillId="0" borderId="0" xfId="179" applyNumberFormat="1" applyFont="1" applyFill="1" applyBorder="1" applyAlignment="1">
      <alignment horizontal="center"/>
    </xf>
    <xf numFmtId="0" fontId="39" fillId="0" borderId="0" xfId="358" applyFont="1" applyAlignment="1">
      <alignment vertical="center"/>
    </xf>
    <xf numFmtId="165" fontId="39" fillId="0" borderId="0" xfId="250" applyFont="1" applyBorder="1" applyAlignment="1">
      <alignment horizontal="center" vertical="center"/>
    </xf>
    <xf numFmtId="165" fontId="27" fillId="0" borderId="25" xfId="250" applyFont="1" applyFill="1" applyBorder="1" applyAlignment="1">
      <alignment horizontal="right"/>
    </xf>
    <xf numFmtId="165" fontId="27" fillId="0" borderId="22" xfId="250" applyFont="1" applyFill="1" applyBorder="1" applyAlignment="1">
      <alignment horizontal="center"/>
    </xf>
    <xf numFmtId="165" fontId="27" fillId="0" borderId="22" xfId="250" applyFont="1" applyFill="1" applyBorder="1" applyAlignment="1">
      <alignment horizontal="right"/>
    </xf>
    <xf numFmtId="165" fontId="42" fillId="0" borderId="22" xfId="250" applyFont="1" applyFill="1" applyBorder="1" applyAlignment="1">
      <alignment horizontal="center"/>
    </xf>
    <xf numFmtId="165" fontId="5" fillId="0" borderId="0" xfId="250" applyFont="1" applyBorder="1" applyAlignment="1">
      <alignment vertical="center"/>
    </xf>
    <xf numFmtId="165" fontId="39" fillId="0" borderId="0" xfId="250" applyFont="1" applyBorder="1" applyAlignment="1">
      <alignment vertical="center"/>
    </xf>
    <xf numFmtId="0" fontId="42" fillId="0" borderId="25" xfId="358" applyFont="1" applyBorder="1" applyAlignment="1">
      <alignment vertical="distributed"/>
    </xf>
    <xf numFmtId="165" fontId="42" fillId="0" borderId="25" xfId="250" applyFont="1" applyFill="1" applyBorder="1" applyAlignment="1">
      <alignment horizontal="center"/>
    </xf>
    <xf numFmtId="0" fontId="42" fillId="0" borderId="22" xfId="358" applyFont="1" applyBorder="1" applyAlignment="1">
      <alignment vertical="distributed"/>
    </xf>
    <xf numFmtId="0" fontId="27" fillId="0" borderId="35" xfId="358" applyFont="1" applyBorder="1" applyAlignment="1">
      <alignment vertical="distributed"/>
    </xf>
    <xf numFmtId="165" fontId="28" fillId="0" borderId="22" xfId="250" applyFont="1" applyFill="1" applyBorder="1" applyAlignment="1">
      <alignment horizontal="center"/>
    </xf>
    <xf numFmtId="165" fontId="27" fillId="0" borderId="35" xfId="250" applyFont="1" applyFill="1" applyBorder="1" applyAlignment="1">
      <alignment horizontal="right"/>
    </xf>
    <xf numFmtId="0" fontId="85" fillId="0" borderId="0" xfId="358" applyFont="1" applyAlignment="1">
      <alignment vertical="center"/>
    </xf>
    <xf numFmtId="165" fontId="85" fillId="0" borderId="0" xfId="250" applyFont="1" applyBorder="1" applyAlignment="1">
      <alignment horizontal="center" vertical="center"/>
    </xf>
    <xf numFmtId="174" fontId="100" fillId="0" borderId="22" xfId="250" applyNumberFormat="1" applyFont="1" applyBorder="1" applyAlignment="1">
      <alignment horizontal="center" vertical="center" wrapText="1"/>
    </xf>
    <xf numFmtId="165" fontId="1" fillId="0" borderId="0" xfId="250" applyFont="1"/>
    <xf numFmtId="0" fontId="100" fillId="0" borderId="0" xfId="167" applyFont="1" applyAlignment="1">
      <alignment horizontal="center" vertical="center" wrapText="1"/>
    </xf>
    <xf numFmtId="0" fontId="90" fillId="0" borderId="0" xfId="167" applyFont="1" applyAlignment="1">
      <alignment horizontal="center" vertical="center" wrapText="1"/>
    </xf>
    <xf numFmtId="0" fontId="4" fillId="0" borderId="39" xfId="250" applyNumberFormat="1" applyFont="1" applyFill="1" applyBorder="1" applyAlignment="1">
      <alignment horizontal="center" vertical="center" wrapText="1"/>
    </xf>
    <xf numFmtId="0" fontId="40" fillId="0" borderId="18" xfId="250" applyNumberFormat="1" applyFont="1" applyFill="1" applyBorder="1" applyAlignment="1">
      <alignment horizontal="center" vertical="center" wrapText="1"/>
    </xf>
    <xf numFmtId="0" fontId="4" fillId="0" borderId="18" xfId="250" applyNumberFormat="1" applyFont="1" applyFill="1" applyBorder="1" applyAlignment="1">
      <alignment horizontal="center" vertical="center" wrapText="1"/>
    </xf>
    <xf numFmtId="0" fontId="4" fillId="0" borderId="20" xfId="250" applyNumberFormat="1" applyFont="1" applyFill="1" applyBorder="1" applyAlignment="1">
      <alignment horizontal="center" vertical="center" wrapText="1"/>
    </xf>
    <xf numFmtId="0" fontId="39" fillId="0" borderId="0" xfId="120" applyFont="1" applyAlignment="1">
      <alignment vertical="center"/>
    </xf>
    <xf numFmtId="43" fontId="98" fillId="0" borderId="22" xfId="310" applyFont="1" applyBorder="1" applyAlignment="1">
      <alignment horizontal="center" vertical="center" wrapText="1"/>
    </xf>
    <xf numFmtId="43" fontId="100" fillId="0" borderId="22" xfId="310" applyFont="1" applyBorder="1" applyAlignment="1">
      <alignment horizontal="center" vertical="center" wrapText="1"/>
    </xf>
    <xf numFmtId="9" fontId="80" fillId="0" borderId="0" xfId="179" applyFont="1"/>
    <xf numFmtId="165" fontId="1" fillId="0" borderId="0" xfId="250" applyFont="1" applyFill="1"/>
    <xf numFmtId="165" fontId="100" fillId="0" borderId="22" xfId="250" applyFont="1" applyFill="1" applyBorder="1" applyAlignment="1">
      <alignment horizontal="left" vertical="center" wrapText="1"/>
    </xf>
    <xf numFmtId="0" fontId="27" fillId="0" borderId="22" xfId="0" applyFont="1" applyBorder="1" applyAlignment="1">
      <alignment vertical="distributed" wrapText="1"/>
    </xf>
    <xf numFmtId="0" fontId="77" fillId="0" borderId="46" xfId="250" applyNumberFormat="1" applyFont="1" applyFill="1" applyBorder="1" applyAlignment="1">
      <alignment horizontal="right" vertical="center"/>
    </xf>
    <xf numFmtId="0" fontId="77" fillId="0" borderId="16" xfId="250" applyNumberFormat="1" applyFont="1" applyFill="1" applyBorder="1" applyAlignment="1">
      <alignment vertical="distributed"/>
    </xf>
    <xf numFmtId="0" fontId="77" fillId="0" borderId="16" xfId="250" applyNumberFormat="1" applyFont="1" applyFill="1" applyBorder="1" applyAlignment="1">
      <alignment horizontal="center"/>
    </xf>
    <xf numFmtId="0" fontId="27" fillId="0" borderId="25" xfId="0" applyFont="1" applyBorder="1" applyAlignment="1">
      <alignment horizontal="left" wrapText="1"/>
    </xf>
    <xf numFmtId="0" fontId="1" fillId="0" borderId="0" xfId="116" applyFont="1"/>
    <xf numFmtId="43" fontId="101" fillId="0" borderId="0" xfId="310" applyFont="1"/>
    <xf numFmtId="43" fontId="98" fillId="0" borderId="0" xfId="310" applyFont="1" applyBorder="1" applyAlignment="1">
      <alignment horizontal="center" vertical="center" wrapText="1"/>
    </xf>
    <xf numFmtId="0" fontId="102" fillId="0" borderId="0" xfId="0" applyFont="1" applyAlignment="1">
      <alignment vertical="center"/>
    </xf>
    <xf numFmtId="0" fontId="29" fillId="0" borderId="15" xfId="355" applyNumberFormat="1" applyFont="1" applyBorder="1" applyAlignment="1">
      <alignment horizontal="left" vertical="center"/>
    </xf>
    <xf numFmtId="0" fontId="4" fillId="0" borderId="0" xfId="122" applyFont="1" applyAlignment="1">
      <alignment vertical="distributed" wrapText="1"/>
    </xf>
    <xf numFmtId="0" fontId="5" fillId="0" borderId="0" xfId="250" applyNumberFormat="1" applyFont="1" applyAlignment="1">
      <alignment horizontal="center" vertical="center"/>
    </xf>
    <xf numFmtId="0" fontId="4" fillId="0" borderId="0" xfId="120" applyFont="1" applyAlignment="1">
      <alignment vertical="distributed" wrapText="1"/>
    </xf>
    <xf numFmtId="165" fontId="29" fillId="0" borderId="16" xfId="250" applyFont="1" applyFill="1" applyBorder="1" applyAlignment="1">
      <alignment horizontal="center"/>
    </xf>
    <xf numFmtId="10" fontId="29" fillId="0" borderId="16" xfId="179" applyNumberFormat="1" applyFont="1" applyFill="1" applyBorder="1" applyAlignment="1">
      <alignment horizontal="center"/>
    </xf>
    <xf numFmtId="0" fontId="4" fillId="0" borderId="0" xfId="122" applyFont="1" applyAlignment="1">
      <alignment horizontal="left" vertical="distributed" wrapText="1"/>
    </xf>
    <xf numFmtId="2" fontId="1" fillId="0" borderId="33" xfId="250" applyNumberFormat="1" applyFont="1" applyFill="1" applyBorder="1" applyAlignment="1">
      <alignment horizontal="center" vertical="center"/>
    </xf>
    <xf numFmtId="2" fontId="1" fillId="0" borderId="34" xfId="250" applyNumberFormat="1" applyFont="1" applyFill="1" applyBorder="1" applyAlignment="1">
      <alignment horizontal="center" vertical="center"/>
    </xf>
    <xf numFmtId="2" fontId="1" fillId="0" borderId="22" xfId="250" applyNumberFormat="1" applyFont="1" applyFill="1" applyBorder="1" applyAlignment="1">
      <alignment horizontal="center" vertical="center"/>
    </xf>
    <xf numFmtId="2" fontId="1" fillId="0" borderId="29" xfId="250" applyNumberFormat="1" applyFont="1" applyFill="1" applyBorder="1" applyAlignment="1">
      <alignment horizontal="center" vertical="center"/>
    </xf>
    <xf numFmtId="2" fontId="1" fillId="0" borderId="32" xfId="250" applyNumberFormat="1" applyFont="1" applyFill="1" applyBorder="1" applyAlignment="1">
      <alignment horizontal="center" vertical="center"/>
    </xf>
    <xf numFmtId="2" fontId="1" fillId="0" borderId="42" xfId="250" applyNumberFormat="1" applyFont="1" applyFill="1" applyBorder="1" applyAlignment="1">
      <alignment horizontal="center" vertical="center"/>
    </xf>
    <xf numFmtId="4" fontId="1" fillId="0" borderId="33" xfId="250" applyNumberFormat="1" applyFont="1" applyFill="1" applyBorder="1" applyAlignment="1">
      <alignment horizontal="center" vertical="center"/>
    </xf>
    <xf numFmtId="4" fontId="1" fillId="0" borderId="34" xfId="250" applyNumberFormat="1" applyFont="1" applyFill="1" applyBorder="1" applyAlignment="1">
      <alignment horizontal="center" vertical="center"/>
    </xf>
    <xf numFmtId="4" fontId="1" fillId="0" borderId="22" xfId="250" applyNumberFormat="1" applyFont="1" applyFill="1" applyBorder="1" applyAlignment="1">
      <alignment horizontal="center" vertical="center"/>
    </xf>
    <xf numFmtId="4" fontId="1" fillId="0" borderId="29" xfId="250" applyNumberFormat="1" applyFont="1" applyFill="1" applyBorder="1" applyAlignment="1">
      <alignment horizontal="center" vertical="center"/>
    </xf>
    <xf numFmtId="4" fontId="1" fillId="0" borderId="32" xfId="250" applyNumberFormat="1" applyFont="1" applyFill="1" applyBorder="1" applyAlignment="1">
      <alignment horizontal="center" vertical="center"/>
    </xf>
    <xf numFmtId="4" fontId="1" fillId="0" borderId="42" xfId="250" applyNumberFormat="1" applyFont="1" applyFill="1" applyBorder="1" applyAlignment="1">
      <alignment horizontal="center" vertical="center"/>
    </xf>
    <xf numFmtId="39" fontId="97" fillId="0" borderId="40" xfId="161" applyNumberFormat="1" applyFont="1" applyBorder="1" applyAlignment="1">
      <alignment horizontal="center"/>
    </xf>
    <xf numFmtId="0" fontId="34" fillId="0" borderId="40" xfId="161" applyFont="1" applyBorder="1"/>
    <xf numFmtId="0" fontId="104" fillId="0" borderId="0" xfId="120" applyFont="1"/>
    <xf numFmtId="0" fontId="47" fillId="0" borderId="13" xfId="120" applyFont="1" applyBorder="1" applyAlignment="1">
      <alignment horizontal="center"/>
    </xf>
    <xf numFmtId="0" fontId="47" fillId="0" borderId="0" xfId="120" applyFont="1" applyAlignment="1">
      <alignment horizontal="center"/>
    </xf>
    <xf numFmtId="4" fontId="47" fillId="0" borderId="0" xfId="250" applyNumberFormat="1" applyFont="1" applyFill="1" applyBorder="1" applyAlignment="1">
      <alignment horizontal="center" vertical="center"/>
    </xf>
    <xf numFmtId="4" fontId="47" fillId="0" borderId="11" xfId="250" applyNumberFormat="1" applyFont="1" applyFill="1" applyBorder="1" applyAlignment="1">
      <alignment horizontal="center" vertical="center"/>
    </xf>
    <xf numFmtId="0" fontId="97" fillId="0" borderId="0" xfId="120" applyFont="1"/>
    <xf numFmtId="165" fontId="97" fillId="0" borderId="38" xfId="161" applyNumberFormat="1" applyFont="1" applyBorder="1" applyAlignment="1">
      <alignment horizontal="center" vertical="center" wrapText="1"/>
    </xf>
    <xf numFmtId="0" fontId="1" fillId="0" borderId="30" xfId="161" applyFont="1" applyBorder="1" applyAlignment="1">
      <alignment horizontal="center" vertical="center"/>
    </xf>
    <xf numFmtId="0" fontId="1" fillId="0" borderId="22" xfId="161" applyFont="1" applyBorder="1" applyAlignment="1">
      <alignment vertical="center"/>
    </xf>
    <xf numFmtId="10" fontId="1" fillId="59" borderId="29" xfId="324" applyNumberFormat="1" applyFont="1" applyFill="1" applyBorder="1" applyAlignment="1" applyProtection="1">
      <alignment horizontal="center" vertical="center"/>
      <protection locked="0"/>
    </xf>
    <xf numFmtId="0" fontId="34" fillId="0" borderId="15" xfId="161" applyFont="1" applyBorder="1"/>
    <xf numFmtId="0" fontId="46" fillId="57" borderId="0" xfId="161" applyFont="1" applyFill="1" applyAlignment="1">
      <alignment vertical="center"/>
    </xf>
    <xf numFmtId="0" fontId="46" fillId="57" borderId="43" xfId="161" applyFont="1" applyFill="1" applyBorder="1" applyAlignment="1">
      <alignment vertical="center"/>
    </xf>
    <xf numFmtId="0" fontId="34" fillId="57" borderId="23" xfId="161" applyFont="1" applyFill="1" applyBorder="1" applyAlignment="1">
      <alignment vertical="center"/>
    </xf>
    <xf numFmtId="0" fontId="34" fillId="0" borderId="0" xfId="161" applyFont="1" applyAlignment="1">
      <alignment horizontal="left" vertical="center"/>
    </xf>
    <xf numFmtId="0" fontId="34" fillId="0" borderId="0" xfId="161" applyFont="1" applyAlignment="1">
      <alignment vertical="center"/>
    </xf>
    <xf numFmtId="0" fontId="1" fillId="0" borderId="0" xfId="161" applyFont="1" applyAlignment="1">
      <alignment vertical="center"/>
    </xf>
    <xf numFmtId="0" fontId="106" fillId="0" borderId="0" xfId="161" applyFont="1" applyAlignment="1">
      <alignment horizontal="right" vertical="center"/>
    </xf>
    <xf numFmtId="0" fontId="106" fillId="0" borderId="0" xfId="161" applyFont="1" applyAlignment="1">
      <alignment horizontal="left" vertical="center"/>
    </xf>
    <xf numFmtId="0" fontId="34" fillId="24" borderId="0" xfId="161" applyFont="1" applyFill="1" applyAlignment="1">
      <alignment vertical="center"/>
    </xf>
    <xf numFmtId="0" fontId="46" fillId="57" borderId="13" xfId="161" applyFont="1" applyFill="1" applyBorder="1" applyAlignment="1">
      <alignment vertical="center"/>
    </xf>
    <xf numFmtId="0" fontId="34" fillId="57" borderId="11" xfId="161" applyFont="1" applyFill="1" applyBorder="1" applyAlignment="1">
      <alignment vertical="center"/>
    </xf>
    <xf numFmtId="0" fontId="97" fillId="58" borderId="13" xfId="161" applyFont="1" applyFill="1" applyBorder="1" applyAlignment="1">
      <alignment vertical="center"/>
    </xf>
    <xf numFmtId="0" fontId="34" fillId="58" borderId="0" xfId="161" applyFont="1" applyFill="1" applyAlignment="1">
      <alignment vertical="center"/>
    </xf>
    <xf numFmtId="0" fontId="34" fillId="58" borderId="11" xfId="161" applyFont="1" applyFill="1" applyBorder="1" applyAlignment="1">
      <alignment horizontal="left" vertical="center"/>
    </xf>
    <xf numFmtId="0" fontId="34" fillId="57" borderId="0" xfId="161" applyFont="1" applyFill="1" applyAlignment="1">
      <alignment vertical="center"/>
    </xf>
    <xf numFmtId="0" fontId="34" fillId="57" borderId="13" xfId="161" applyFont="1" applyFill="1" applyBorder="1" applyAlignment="1">
      <alignment vertical="center"/>
    </xf>
    <xf numFmtId="14" fontId="1" fillId="58" borderId="19" xfId="161" quotePrefix="1" applyNumberFormat="1" applyFont="1" applyFill="1" applyBorder="1" applyAlignment="1">
      <alignment horizontal="center" vertical="center"/>
    </xf>
    <xf numFmtId="0" fontId="1" fillId="57" borderId="0" xfId="161" applyFont="1" applyFill="1" applyAlignment="1">
      <alignment vertical="center"/>
    </xf>
    <xf numFmtId="0" fontId="1" fillId="57" borderId="13" xfId="161" applyFont="1" applyFill="1" applyBorder="1" applyAlignment="1">
      <alignment vertical="center"/>
    </xf>
    <xf numFmtId="0" fontId="97" fillId="57" borderId="11" xfId="161" applyFont="1" applyFill="1" applyBorder="1" applyAlignment="1">
      <alignment vertical="center"/>
    </xf>
    <xf numFmtId="0" fontId="97" fillId="0" borderId="0" xfId="161" applyFont="1" applyAlignment="1">
      <alignment horizontal="right" vertical="center"/>
    </xf>
    <xf numFmtId="0" fontId="108" fillId="0" borderId="0" xfId="161" applyFont="1" applyAlignment="1">
      <alignment horizontal="right" vertical="center"/>
    </xf>
    <xf numFmtId="4" fontId="53" fillId="0" borderId="0" xfId="161" applyNumberFormat="1" applyFont="1" applyAlignment="1">
      <alignment horizontal="right" vertical="center"/>
    </xf>
    <xf numFmtId="49" fontId="1" fillId="0" borderId="0" xfId="161" applyNumberFormat="1" applyFont="1" applyAlignment="1">
      <alignment vertical="center"/>
    </xf>
    <xf numFmtId="49" fontId="34" fillId="0" borderId="0" xfId="161" applyNumberFormat="1" applyFont="1" applyAlignment="1">
      <alignment vertical="center"/>
    </xf>
    <xf numFmtId="49" fontId="97" fillId="0" borderId="0" xfId="161" applyNumberFormat="1" applyFont="1" applyAlignment="1">
      <alignment horizontal="left" vertical="center"/>
    </xf>
    <xf numFmtId="49" fontId="97" fillId="0" borderId="0" xfId="161" applyNumberFormat="1" applyFont="1" applyAlignment="1">
      <alignment horizontal="center" vertical="center"/>
    </xf>
    <xf numFmtId="0" fontId="97" fillId="0" borderId="0" xfId="161" applyFont="1" applyAlignment="1">
      <alignment horizontal="center" vertical="center"/>
    </xf>
    <xf numFmtId="4" fontId="53" fillId="0" borderId="0" xfId="161" applyNumberFormat="1" applyFont="1" applyAlignment="1">
      <alignment vertical="center"/>
    </xf>
    <xf numFmtId="0" fontId="97" fillId="58" borderId="36" xfId="161" applyFont="1" applyFill="1" applyBorder="1" applyAlignment="1">
      <alignment vertical="center"/>
    </xf>
    <xf numFmtId="0" fontId="1" fillId="58" borderId="28" xfId="161" applyFont="1" applyFill="1" applyBorder="1" applyAlignment="1">
      <alignment vertical="center"/>
    </xf>
    <xf numFmtId="14" fontId="97" fillId="58" borderId="19" xfId="161" applyNumberFormat="1" applyFont="1" applyFill="1" applyBorder="1" applyAlignment="1">
      <alignment horizontal="center" vertical="center"/>
    </xf>
    <xf numFmtId="0" fontId="34" fillId="57" borderId="14" xfId="161" applyFont="1" applyFill="1" applyBorder="1" applyAlignment="1">
      <alignment vertical="center"/>
    </xf>
    <xf numFmtId="0" fontId="97" fillId="57" borderId="12" xfId="161" applyFont="1" applyFill="1" applyBorder="1" applyAlignment="1">
      <alignment vertical="center"/>
    </xf>
    <xf numFmtId="49" fontId="1" fillId="0" borderId="0" xfId="161" applyNumberFormat="1" applyFont="1" applyAlignment="1">
      <alignment horizontal="left" vertical="center"/>
    </xf>
    <xf numFmtId="49" fontId="1" fillId="0" borderId="0" xfId="161" applyNumberFormat="1" applyFont="1" applyAlignment="1">
      <alignment horizontal="center" vertical="center"/>
    </xf>
    <xf numFmtId="0" fontId="34" fillId="0" borderId="0" xfId="161" applyFont="1" applyAlignment="1">
      <alignment horizontal="center" vertical="center"/>
    </xf>
    <xf numFmtId="49" fontId="53" fillId="57" borderId="13" xfId="161" applyNumberFormat="1" applyFont="1" applyFill="1" applyBorder="1" applyAlignment="1">
      <alignment horizontal="center" vertical="center"/>
    </xf>
    <xf numFmtId="49" fontId="53" fillId="57" borderId="0" xfId="161" applyNumberFormat="1" applyFont="1" applyFill="1" applyAlignment="1">
      <alignment horizontal="center" vertical="center"/>
    </xf>
    <xf numFmtId="0" fontId="108" fillId="57" borderId="0" xfId="161" applyFont="1" applyFill="1" applyAlignment="1">
      <alignment horizontal="center" vertical="center"/>
    </xf>
    <xf numFmtId="0" fontId="46" fillId="0" borderId="0" xfId="120" applyFont="1"/>
    <xf numFmtId="165" fontId="5" fillId="0" borderId="0" xfId="250" applyFont="1" applyBorder="1" applyAlignment="1">
      <alignment horizontal="center"/>
    </xf>
    <xf numFmtId="4" fontId="5" fillId="0" borderId="0" xfId="250" applyNumberFormat="1" applyFont="1" applyBorder="1" applyAlignment="1">
      <alignment horizontal="center"/>
    </xf>
    <xf numFmtId="0" fontId="108" fillId="0" borderId="31" xfId="161" applyFont="1" applyBorder="1" applyAlignment="1">
      <alignment horizontal="center" vertical="center"/>
    </xf>
    <xf numFmtId="0" fontId="108" fillId="0" borderId="42" xfId="161" applyFont="1" applyBorder="1" applyAlignment="1">
      <alignment horizontal="center" vertical="center"/>
    </xf>
    <xf numFmtId="168" fontId="106" fillId="0" borderId="0" xfId="120" applyNumberFormat="1" applyFont="1"/>
    <xf numFmtId="0" fontId="106" fillId="0" borderId="0" xfId="120" applyFont="1"/>
    <xf numFmtId="0" fontId="97" fillId="0" borderId="0" xfId="161" applyFont="1" applyAlignment="1">
      <alignment horizontal="justify" vertical="center" wrapText="1"/>
    </xf>
    <xf numFmtId="0" fontId="97" fillId="0" borderId="38" xfId="161" applyFont="1" applyBorder="1" applyAlignment="1">
      <alignment horizontal="justify" vertical="center" wrapText="1"/>
    </xf>
    <xf numFmtId="0" fontId="34" fillId="0" borderId="34" xfId="161" applyFont="1" applyBorder="1"/>
    <xf numFmtId="0" fontId="106" fillId="0" borderId="0" xfId="120" applyFont="1" applyAlignment="1">
      <alignment horizontal="center"/>
    </xf>
    <xf numFmtId="10" fontId="1" fillId="0" borderId="0" xfId="324" applyNumberFormat="1" applyFont="1" applyBorder="1" applyAlignment="1">
      <alignment horizontal="center" vertical="center"/>
    </xf>
    <xf numFmtId="10" fontId="1" fillId="0" borderId="30" xfId="324" applyNumberFormat="1" applyFont="1" applyBorder="1" applyAlignment="1">
      <alignment horizontal="center" vertical="center"/>
    </xf>
    <xf numFmtId="10" fontId="1" fillId="0" borderId="29" xfId="324" applyNumberFormat="1" applyFont="1" applyBorder="1" applyAlignment="1">
      <alignment horizontal="center" vertical="center"/>
    </xf>
    <xf numFmtId="168" fontId="106" fillId="0" borderId="0" xfId="120" applyNumberFormat="1" applyFont="1" applyAlignment="1">
      <alignment horizontal="right"/>
    </xf>
    <xf numFmtId="4" fontId="48" fillId="0" borderId="0" xfId="250" applyNumberFormat="1" applyFont="1" applyFill="1" applyBorder="1" applyAlignment="1">
      <alignment horizontal="center" vertical="center"/>
    </xf>
    <xf numFmtId="0" fontId="1" fillId="0" borderId="0" xfId="120" applyFont="1" applyAlignment="1">
      <alignment horizontal="right"/>
    </xf>
    <xf numFmtId="166" fontId="48" fillId="0" borderId="0" xfId="250" applyNumberFormat="1" applyFont="1" applyFill="1" applyBorder="1" applyAlignment="1">
      <alignment horizontal="center"/>
    </xf>
    <xf numFmtId="0" fontId="48" fillId="0" borderId="0" xfId="120" applyFont="1" applyAlignment="1">
      <alignment horizontal="right"/>
    </xf>
    <xf numFmtId="10" fontId="97" fillId="0" borderId="42" xfId="324" applyNumberFormat="1" applyFont="1" applyBorder="1" applyAlignment="1">
      <alignment horizontal="center" vertical="center"/>
    </xf>
    <xf numFmtId="10" fontId="97" fillId="0" borderId="0" xfId="324" applyNumberFormat="1" applyFont="1" applyBorder="1" applyAlignment="1">
      <alignment horizontal="center" vertical="center"/>
    </xf>
    <xf numFmtId="10" fontId="1" fillId="0" borderId="31" xfId="324" applyNumberFormat="1" applyFont="1" applyBorder="1" applyAlignment="1">
      <alignment horizontal="center" vertical="center"/>
    </xf>
    <xf numFmtId="10" fontId="1" fillId="0" borderId="42" xfId="324" applyNumberFormat="1" applyFont="1" applyBorder="1" applyAlignment="1">
      <alignment horizontal="center" vertical="center"/>
    </xf>
    <xf numFmtId="0" fontId="1" fillId="0" borderId="0" xfId="161" applyFont="1" applyAlignment="1">
      <alignment horizontal="center" vertical="center"/>
    </xf>
    <xf numFmtId="10" fontId="1" fillId="0" borderId="11" xfId="324" applyNumberFormat="1" applyFont="1" applyBorder="1" applyAlignment="1">
      <alignment horizontal="center" vertical="center"/>
    </xf>
    <xf numFmtId="0" fontId="106" fillId="0" borderId="0" xfId="120" applyFont="1" applyAlignment="1">
      <alignment horizontal="right"/>
    </xf>
    <xf numFmtId="4" fontId="106" fillId="0" borderId="0" xfId="179" applyNumberFormat="1" applyFont="1" applyFill="1" applyBorder="1" applyAlignment="1">
      <alignment horizontal="center"/>
    </xf>
    <xf numFmtId="10" fontId="1" fillId="0" borderId="38" xfId="324" applyNumberFormat="1" applyFont="1" applyBorder="1" applyAlignment="1">
      <alignment horizontal="center" vertical="center"/>
    </xf>
    <xf numFmtId="10" fontId="1" fillId="0" borderId="34" xfId="324" applyNumberFormat="1" applyFont="1" applyBorder="1" applyAlignment="1">
      <alignment horizontal="center" vertical="center"/>
    </xf>
    <xf numFmtId="10" fontId="106" fillId="0" borderId="0" xfId="179" applyNumberFormat="1" applyFont="1" applyFill="1" applyBorder="1" applyAlignment="1">
      <alignment horizontal="center"/>
    </xf>
    <xf numFmtId="0" fontId="46" fillId="0" borderId="0" xfId="120" applyFont="1" applyAlignment="1">
      <alignment vertical="justify"/>
    </xf>
    <xf numFmtId="10" fontId="97" fillId="0" borderId="0" xfId="324" applyNumberFormat="1" applyFont="1" applyBorder="1" applyAlignment="1">
      <alignment horizontal="center" vertical="center" wrapText="1"/>
    </xf>
    <xf numFmtId="168" fontId="47" fillId="0" borderId="0" xfId="120" applyNumberFormat="1" applyFont="1" applyAlignment="1">
      <alignment horizontal="right"/>
    </xf>
    <xf numFmtId="10" fontId="46" fillId="0" borderId="0" xfId="179" applyNumberFormat="1" applyFont="1" applyFill="1" applyBorder="1" applyAlignment="1">
      <alignment horizontal="center"/>
    </xf>
    <xf numFmtId="10" fontId="1" fillId="0" borderId="39" xfId="324" applyNumberFormat="1" applyFont="1" applyBorder="1" applyAlignment="1">
      <alignment horizontal="center" vertical="center"/>
    </xf>
    <xf numFmtId="10" fontId="1" fillId="0" borderId="19" xfId="324" applyNumberFormat="1" applyFont="1" applyBorder="1" applyAlignment="1">
      <alignment horizontal="center" vertical="center"/>
    </xf>
    <xf numFmtId="0" fontId="39" fillId="0" borderId="0" xfId="120" applyFont="1" applyAlignment="1">
      <alignment vertical="distributed" wrapText="1"/>
    </xf>
    <xf numFmtId="165" fontId="39" fillId="0" borderId="0" xfId="250" applyFont="1" applyBorder="1" applyAlignment="1">
      <alignment horizontal="center"/>
    </xf>
    <xf numFmtId="4" fontId="39" fillId="0" borderId="0" xfId="250" applyNumberFormat="1" applyFont="1" applyBorder="1" applyAlignment="1">
      <alignment horizontal="center"/>
    </xf>
    <xf numFmtId="165" fontId="39" fillId="0" borderId="0" xfId="250" applyFont="1" applyBorder="1" applyAlignment="1"/>
    <xf numFmtId="0" fontId="1" fillId="0" borderId="44" xfId="161" applyFont="1" applyBorder="1" applyAlignment="1">
      <alignment horizontal="center" vertical="center"/>
    </xf>
    <xf numFmtId="0" fontId="1" fillId="0" borderId="35" xfId="161" applyFont="1" applyBorder="1" applyAlignment="1">
      <alignment vertical="center"/>
    </xf>
    <xf numFmtId="10" fontId="1" fillId="59" borderId="45" xfId="324" applyNumberFormat="1" applyFont="1" applyFill="1" applyBorder="1" applyAlignment="1" applyProtection="1">
      <alignment horizontal="center" vertical="center"/>
      <protection locked="0"/>
    </xf>
    <xf numFmtId="165" fontId="97" fillId="0" borderId="13" xfId="161" applyNumberFormat="1" applyFont="1" applyBorder="1" applyAlignment="1">
      <alignment horizontal="center" vertical="center" wrapText="1"/>
    </xf>
    <xf numFmtId="165" fontId="1" fillId="0" borderId="0" xfId="161" applyNumberFormat="1" applyFont="1" applyAlignment="1">
      <alignment vertical="center"/>
    </xf>
    <xf numFmtId="0" fontId="1" fillId="0" borderId="13" xfId="161" applyFont="1" applyBorder="1" applyAlignment="1">
      <alignment horizontal="center" vertical="center"/>
    </xf>
    <xf numFmtId="0" fontId="1" fillId="0" borderId="13" xfId="161" applyFont="1" applyBorder="1" applyAlignment="1">
      <alignment horizontal="right" vertical="center"/>
    </xf>
    <xf numFmtId="0" fontId="1" fillId="0" borderId="0" xfId="161" applyFont="1" applyAlignment="1">
      <alignment horizontal="right" vertical="center"/>
    </xf>
    <xf numFmtId="164" fontId="109" fillId="0" borderId="0" xfId="324" applyNumberFormat="1" applyFont="1" applyBorder="1" applyAlignment="1">
      <alignment vertical="center"/>
    </xf>
    <xf numFmtId="10" fontId="47" fillId="0" borderId="0" xfId="161" applyNumberFormat="1" applyFont="1" applyAlignment="1">
      <alignment vertical="center"/>
    </xf>
    <xf numFmtId="10" fontId="1" fillId="0" borderId="19" xfId="161" applyNumberFormat="1" applyFont="1" applyBorder="1" applyAlignment="1">
      <alignment horizontal="center" vertical="center"/>
    </xf>
    <xf numFmtId="10" fontId="47" fillId="0" borderId="10" xfId="161" applyNumberFormat="1" applyFont="1" applyBorder="1" applyAlignment="1">
      <alignment vertical="center"/>
    </xf>
    <xf numFmtId="0" fontId="34" fillId="0" borderId="10" xfId="161" applyFont="1" applyBorder="1"/>
    <xf numFmtId="0" fontId="34" fillId="0" borderId="12" xfId="161" applyFont="1" applyBorder="1"/>
    <xf numFmtId="0" fontId="46" fillId="59" borderId="0" xfId="161" applyFont="1" applyFill="1" applyAlignment="1">
      <alignment horizontal="center" vertical="center"/>
    </xf>
    <xf numFmtId="0" fontId="106" fillId="0" borderId="0" xfId="161" applyFont="1"/>
    <xf numFmtId="4" fontId="27" fillId="0" borderId="22" xfId="310" applyNumberFormat="1" applyFont="1" applyFill="1" applyBorder="1" applyAlignment="1">
      <alignment horizontal="right"/>
    </xf>
    <xf numFmtId="43" fontId="27" fillId="0" borderId="22" xfId="310" applyFont="1" applyFill="1" applyBorder="1" applyAlignment="1">
      <alignment horizontal="center"/>
    </xf>
    <xf numFmtId="43" fontId="100" fillId="0" borderId="22" xfId="310" applyFont="1" applyFill="1" applyBorder="1" applyAlignment="1">
      <alignment horizontal="center" vertical="center" wrapText="1"/>
    </xf>
    <xf numFmtId="0" fontId="99" fillId="0" borderId="22" xfId="167" applyFont="1" applyBorder="1" applyAlignment="1">
      <alignment horizontal="center" vertical="center" wrapText="1"/>
    </xf>
    <xf numFmtId="165" fontId="99" fillId="0" borderId="22" xfId="250" applyFont="1" applyBorder="1" applyAlignment="1">
      <alignment horizontal="center" vertical="center" wrapText="1"/>
    </xf>
    <xf numFmtId="165" fontId="99" fillId="0" borderId="22" xfId="250" applyFont="1" applyBorder="1" applyAlignment="1">
      <alignment horizontal="left" vertical="center" wrapText="1"/>
    </xf>
    <xf numFmtId="165" fontId="99" fillId="0" borderId="22" xfId="250" applyFont="1" applyFill="1" applyBorder="1" applyAlignment="1">
      <alignment horizontal="left" vertical="center" wrapText="1"/>
    </xf>
    <xf numFmtId="165" fontId="88" fillId="0" borderId="0" xfId="250" applyFont="1" applyFill="1"/>
    <xf numFmtId="0" fontId="99" fillId="0" borderId="22" xfId="167" applyFont="1" applyBorder="1" applyAlignment="1">
      <alignment horizontal="left" vertical="center" wrapText="1"/>
    </xf>
    <xf numFmtId="10" fontId="52" fillId="0" borderId="0" xfId="179" applyNumberFormat="1" applyFont="1" applyBorder="1" applyAlignment="1">
      <alignment horizontal="center"/>
    </xf>
    <xf numFmtId="0" fontId="40" fillId="0" borderId="30" xfId="169" quotePrefix="1" applyFont="1" applyBorder="1" applyAlignment="1">
      <alignment horizontal="center" vertical="center"/>
    </xf>
    <xf numFmtId="10" fontId="110" fillId="0" borderId="0" xfId="116" applyNumberFormat="1" applyFont="1" applyAlignment="1">
      <alignment horizontal="center"/>
    </xf>
    <xf numFmtId="0" fontId="50" fillId="0" borderId="10" xfId="116" applyFont="1" applyBorder="1"/>
    <xf numFmtId="0" fontId="30" fillId="0" borderId="13" xfId="204" applyNumberFormat="1" applyFont="1" applyFill="1" applyBorder="1" applyAlignment="1" applyProtection="1">
      <alignment vertical="center"/>
      <protection locked="0"/>
    </xf>
    <xf numFmtId="0" fontId="30" fillId="0" borderId="0" xfId="204" applyNumberFormat="1" applyFont="1" applyFill="1" applyBorder="1" applyAlignment="1" applyProtection="1">
      <alignment vertical="center"/>
      <protection locked="0"/>
    </xf>
    <xf numFmtId="49" fontId="4" fillId="0" borderId="10" xfId="142" applyNumberFormat="1" applyFont="1" applyBorder="1" applyAlignment="1" applyProtection="1">
      <alignment horizontal="center" wrapText="1"/>
      <protection locked="0"/>
    </xf>
    <xf numFmtId="39" fontId="4" fillId="0" borderId="10" xfId="95" applyNumberFormat="1" applyFont="1" applyFill="1" applyBorder="1" applyAlignment="1" applyProtection="1">
      <alignment wrapText="1"/>
      <protection locked="0"/>
    </xf>
    <xf numFmtId="165" fontId="52" fillId="0" borderId="0" xfId="250" applyFont="1" applyBorder="1" applyAlignment="1">
      <alignment vertical="center"/>
    </xf>
    <xf numFmtId="49" fontId="52" fillId="0" borderId="0" xfId="142" applyNumberFormat="1" applyFont="1" applyAlignment="1" applyProtection="1">
      <alignment wrapText="1"/>
      <protection locked="0"/>
    </xf>
    <xf numFmtId="0" fontId="50" fillId="0" borderId="0" xfId="116" applyFont="1" applyAlignment="1">
      <alignment horizontal="center" vertical="distributed"/>
    </xf>
    <xf numFmtId="10" fontId="50" fillId="0" borderId="0" xfId="116" applyNumberFormat="1" applyFont="1" applyAlignment="1">
      <alignment horizontal="center"/>
    </xf>
    <xf numFmtId="9" fontId="50" fillId="0" borderId="0" xfId="116" applyNumberFormat="1" applyFont="1" applyAlignment="1">
      <alignment horizontal="center"/>
    </xf>
    <xf numFmtId="10" fontId="110" fillId="0" borderId="0" xfId="250" applyNumberFormat="1" applyFont="1" applyFill="1" applyAlignment="1">
      <alignment horizontal="center"/>
    </xf>
    <xf numFmtId="0" fontId="110" fillId="0" borderId="0" xfId="116" applyFont="1" applyAlignment="1">
      <alignment horizontal="center"/>
    </xf>
    <xf numFmtId="165" fontId="110" fillId="0" borderId="0" xfId="116" applyNumberFormat="1" applyFont="1"/>
    <xf numFmtId="10" fontId="110" fillId="0" borderId="0" xfId="116" applyNumberFormat="1" applyFont="1"/>
    <xf numFmtId="0" fontId="110" fillId="0" borderId="0" xfId="116" applyFont="1"/>
    <xf numFmtId="10" fontId="111" fillId="0" borderId="0" xfId="250" applyNumberFormat="1" applyFont="1" applyFill="1" applyAlignment="1">
      <alignment horizontal="center"/>
    </xf>
    <xf numFmtId="0" fontId="111" fillId="0" borderId="0" xfId="116" applyFont="1" applyAlignment="1">
      <alignment horizontal="center"/>
    </xf>
    <xf numFmtId="165" fontId="111" fillId="0" borderId="0" xfId="116" applyNumberFormat="1" applyFont="1"/>
    <xf numFmtId="10" fontId="111" fillId="0" borderId="0" xfId="116" applyNumberFormat="1" applyFont="1"/>
    <xf numFmtId="0" fontId="111" fillId="0" borderId="0" xfId="116" applyFont="1"/>
    <xf numFmtId="10" fontId="52" fillId="0" borderId="0" xfId="179" applyNumberFormat="1" applyFont="1" applyBorder="1" applyAlignment="1"/>
    <xf numFmtId="172" fontId="30" fillId="0" borderId="10" xfId="95" applyNumberFormat="1" applyFont="1" applyFill="1" applyBorder="1" applyAlignment="1" applyProtection="1">
      <alignment wrapText="1"/>
      <protection locked="0"/>
    </xf>
    <xf numFmtId="0" fontId="4" fillId="0" borderId="0" xfId="116" applyFont="1"/>
    <xf numFmtId="165" fontId="5" fillId="0" borderId="0" xfId="250" applyFont="1" applyAlignment="1"/>
    <xf numFmtId="165" fontId="5" fillId="0" borderId="0" xfId="250" applyFont="1" applyAlignment="1">
      <alignment horizontal="center"/>
    </xf>
    <xf numFmtId="4" fontId="27" fillId="0" borderId="25" xfId="250" applyNumberFormat="1" applyFont="1" applyFill="1" applyBorder="1" applyAlignment="1">
      <alignment horizontal="right"/>
    </xf>
    <xf numFmtId="4" fontId="27" fillId="0" borderId="35" xfId="250" applyNumberFormat="1" applyFont="1" applyFill="1" applyBorder="1" applyAlignment="1">
      <alignment horizontal="right"/>
    </xf>
    <xf numFmtId="0" fontId="39" fillId="60" borderId="0" xfId="0" applyFont="1" applyFill="1" applyAlignment="1">
      <alignment vertical="center"/>
    </xf>
    <xf numFmtId="0" fontId="48" fillId="0" borderId="0" xfId="0" applyFont="1" applyAlignment="1">
      <alignment horizontal="left" vertical="distributed" wrapText="1"/>
    </xf>
    <xf numFmtId="0" fontId="48" fillId="0" borderId="0" xfId="0" applyFont="1" applyAlignment="1">
      <alignment vertical="top" wrapText="1"/>
    </xf>
    <xf numFmtId="43" fontId="42" fillId="0" borderId="22" xfId="310" applyFont="1" applyFill="1" applyBorder="1" applyAlignment="1">
      <alignment horizontal="center"/>
    </xf>
    <xf numFmtId="165" fontId="100" fillId="0" borderId="22" xfId="250" quotePrefix="1" applyFont="1" applyFill="1" applyBorder="1" applyAlignment="1">
      <alignment horizontal="center" vertical="center" wrapText="1"/>
    </xf>
    <xf numFmtId="43" fontId="98" fillId="0" borderId="25" xfId="310" applyFont="1" applyBorder="1" applyAlignment="1">
      <alignment horizontal="center" vertical="center" wrapText="1"/>
    </xf>
    <xf numFmtId="43" fontId="100" fillId="0" borderId="22" xfId="310" applyFont="1" applyBorder="1" applyAlignment="1">
      <alignment vertical="center" wrapText="1"/>
    </xf>
    <xf numFmtId="165" fontId="28" fillId="0" borderId="35" xfId="250" applyFont="1" applyFill="1" applyBorder="1" applyAlignment="1">
      <alignment horizontal="center"/>
    </xf>
    <xf numFmtId="0" fontId="42" fillId="0" borderId="35" xfId="358" applyFont="1" applyBorder="1" applyAlignment="1">
      <alignment vertical="distributed"/>
    </xf>
    <xf numFmtId="0" fontId="27" fillId="0" borderId="22" xfId="358" applyFont="1" applyBorder="1" applyAlignment="1">
      <alignment vertical="distributed"/>
    </xf>
    <xf numFmtId="43" fontId="42" fillId="0" borderId="25" xfId="310" applyFont="1" applyFill="1" applyBorder="1" applyAlignment="1">
      <alignment horizontal="center"/>
    </xf>
    <xf numFmtId="4" fontId="27" fillId="0" borderId="75" xfId="250" applyNumberFormat="1" applyFont="1" applyFill="1" applyBorder="1" applyAlignment="1">
      <alignment horizontal="right"/>
    </xf>
    <xf numFmtId="0" fontId="42" fillId="0" borderId="35" xfId="358" applyFont="1" applyBorder="1" applyAlignment="1">
      <alignment vertical="distributed" wrapText="1"/>
    </xf>
    <xf numFmtId="43" fontId="42" fillId="0" borderId="35" xfId="310" applyFont="1" applyFill="1" applyBorder="1" applyAlignment="1">
      <alignment horizontal="center"/>
    </xf>
    <xf numFmtId="0" fontId="27" fillId="0" borderId="35" xfId="358" applyFont="1" applyBorder="1" applyAlignment="1">
      <alignment vertical="distributed" wrapText="1"/>
    </xf>
    <xf numFmtId="0" fontId="29" fillId="0" borderId="0" xfId="355" applyNumberFormat="1" applyFont="1" applyBorder="1" applyAlignment="1">
      <alignment horizontal="left" vertical="center"/>
    </xf>
    <xf numFmtId="0" fontId="27" fillId="0" borderId="25" xfId="358" applyFont="1" applyBorder="1" applyAlignment="1">
      <alignment vertical="distributed"/>
    </xf>
    <xf numFmtId="0" fontId="80" fillId="0" borderId="22" xfId="0" applyFont="1" applyBorder="1"/>
    <xf numFmtId="0" fontId="100" fillId="57" borderId="22" xfId="167" applyFont="1" applyFill="1" applyBorder="1" applyAlignment="1">
      <alignment horizontal="center" vertical="center" wrapText="1"/>
    </xf>
    <xf numFmtId="4" fontId="27" fillId="57" borderId="22" xfId="250" applyNumberFormat="1" applyFont="1" applyFill="1" applyBorder="1" applyAlignment="1">
      <alignment horizontal="right"/>
    </xf>
    <xf numFmtId="43" fontId="42" fillId="57" borderId="22" xfId="310" applyFont="1" applyFill="1" applyBorder="1" applyAlignment="1">
      <alignment horizontal="center"/>
    </xf>
    <xf numFmtId="4" fontId="27" fillId="57" borderId="22" xfId="310" applyNumberFormat="1" applyFont="1" applyFill="1" applyBorder="1" applyAlignment="1">
      <alignment horizontal="right"/>
    </xf>
    <xf numFmtId="4" fontId="27" fillId="57" borderId="75" xfId="250" applyNumberFormat="1" applyFont="1" applyFill="1" applyBorder="1" applyAlignment="1">
      <alignment horizontal="right"/>
    </xf>
    <xf numFmtId="0" fontId="27" fillId="0" borderId="35" xfId="120" applyFont="1" applyBorder="1" applyAlignment="1">
      <alignment vertical="distributed"/>
    </xf>
    <xf numFmtId="165" fontId="99" fillId="0" borderId="22" xfId="250" applyFont="1" applyFill="1" applyBorder="1" applyAlignment="1">
      <alignment horizontal="center" vertical="center" wrapText="1"/>
    </xf>
    <xf numFmtId="0" fontId="96" fillId="0" borderId="0" xfId="0" applyFont="1" applyAlignment="1">
      <alignment horizontal="justify" vertical="center"/>
    </xf>
    <xf numFmtId="0" fontId="39" fillId="0" borderId="22" xfId="310" applyNumberFormat="1" applyFont="1" applyFill="1" applyBorder="1" applyAlignment="1">
      <alignment horizontal="center" vertical="center"/>
    </xf>
    <xf numFmtId="0" fontId="39" fillId="57" borderId="22" xfId="310" applyNumberFormat="1" applyFont="1" applyFill="1" applyBorder="1" applyAlignment="1">
      <alignment horizontal="center" vertical="center"/>
    </xf>
    <xf numFmtId="49" fontId="112" fillId="57" borderId="24" xfId="250" applyNumberFormat="1" applyFont="1" applyFill="1" applyBorder="1" applyAlignment="1">
      <alignment horizontal="center" vertical="center"/>
    </xf>
    <xf numFmtId="49" fontId="112" fillId="57" borderId="27" xfId="250" applyNumberFormat="1" applyFont="1" applyFill="1" applyBorder="1" applyAlignment="1">
      <alignment horizontal="center" vertical="center"/>
    </xf>
    <xf numFmtId="49" fontId="39" fillId="0" borderId="27" xfId="250" applyNumberFormat="1" applyFont="1" applyFill="1" applyBorder="1" applyAlignment="1">
      <alignment horizontal="center" vertical="center"/>
    </xf>
    <xf numFmtId="0" fontId="39" fillId="0" borderId="35" xfId="310" applyNumberFormat="1" applyFont="1" applyFill="1" applyBorder="1" applyAlignment="1">
      <alignment horizontal="center" vertical="center"/>
    </xf>
    <xf numFmtId="0" fontId="39" fillId="0" borderId="22" xfId="310" applyNumberFormat="1" applyFont="1" applyBorder="1" applyAlignment="1">
      <alignment horizontal="center" vertical="center"/>
    </xf>
    <xf numFmtId="49" fontId="39" fillId="0" borderId="22" xfId="250" applyNumberFormat="1" applyFont="1" applyFill="1" applyBorder="1" applyAlignment="1">
      <alignment horizontal="center" vertical="center" wrapText="1"/>
    </xf>
    <xf numFmtId="49" fontId="112" fillId="0" borderId="22" xfId="250" applyNumberFormat="1" applyFont="1" applyFill="1" applyBorder="1" applyAlignment="1">
      <alignment horizontal="center" vertical="center"/>
    </xf>
    <xf numFmtId="49" fontId="39" fillId="0" borderId="24" xfId="250" applyNumberFormat="1" applyFont="1" applyFill="1" applyBorder="1" applyAlignment="1">
      <alignment horizontal="center" vertical="center"/>
    </xf>
    <xf numFmtId="0" fontId="39" fillId="0" borderId="22" xfId="310" applyNumberFormat="1" applyFont="1" applyFill="1" applyBorder="1" applyAlignment="1">
      <alignment horizontal="center" vertical="center" wrapText="1"/>
    </xf>
    <xf numFmtId="49" fontId="39" fillId="57" borderId="35" xfId="250" applyNumberFormat="1" applyFont="1" applyFill="1" applyBorder="1" applyAlignment="1">
      <alignment horizontal="center" vertical="center" wrapText="1"/>
    </xf>
    <xf numFmtId="49" fontId="39" fillId="0" borderId="35" xfId="250" applyNumberFormat="1" applyFont="1" applyFill="1" applyBorder="1" applyAlignment="1">
      <alignment horizontal="center" vertical="center" wrapText="1"/>
    </xf>
    <xf numFmtId="0" fontId="39" fillId="57" borderId="22" xfId="310" applyNumberFormat="1" applyFont="1" applyFill="1" applyBorder="1" applyAlignment="1">
      <alignment horizontal="center" vertical="center" wrapText="1"/>
    </xf>
    <xf numFmtId="0" fontId="39" fillId="57" borderId="35" xfId="310" applyNumberFormat="1" applyFont="1" applyFill="1" applyBorder="1" applyAlignment="1">
      <alignment horizontal="center" vertical="center" wrapText="1"/>
    </xf>
    <xf numFmtId="0" fontId="39" fillId="0" borderId="22" xfId="250" applyNumberFormat="1" applyFont="1" applyFill="1" applyBorder="1" applyAlignment="1">
      <alignment horizontal="center" vertical="center"/>
    </xf>
    <xf numFmtId="0" fontId="39" fillId="57" borderId="22" xfId="250" applyNumberFormat="1" applyFont="1" applyFill="1" applyBorder="1" applyAlignment="1">
      <alignment horizontal="center" vertical="center"/>
    </xf>
    <xf numFmtId="0" fontId="39" fillId="0" borderId="35" xfId="310" applyNumberFormat="1" applyFont="1" applyFill="1" applyBorder="1" applyAlignment="1">
      <alignment horizontal="center" vertical="center" wrapText="1"/>
    </xf>
    <xf numFmtId="0" fontId="39" fillId="0" borderId="25" xfId="310" applyNumberFormat="1" applyFont="1" applyFill="1" applyBorder="1" applyAlignment="1">
      <alignment horizontal="center" vertical="center"/>
    </xf>
    <xf numFmtId="0" fontId="39" fillId="57" borderId="25" xfId="310" applyNumberFormat="1" applyFont="1" applyFill="1" applyBorder="1" applyAlignment="1">
      <alignment horizontal="center" vertical="center"/>
    </xf>
    <xf numFmtId="49" fontId="39" fillId="57" borderId="27" xfId="250" applyNumberFormat="1" applyFont="1" applyFill="1" applyBorder="1" applyAlignment="1">
      <alignment horizontal="center" vertical="center"/>
    </xf>
    <xf numFmtId="0" fontId="85" fillId="0" borderId="16" xfId="250" applyNumberFormat="1" applyFont="1" applyFill="1" applyBorder="1" applyAlignment="1">
      <alignment horizontal="right" vertical="center"/>
    </xf>
    <xf numFmtId="0" fontId="102" fillId="0" borderId="0" xfId="120" applyFont="1" applyAlignment="1">
      <alignment horizontal="center" vertical="center"/>
    </xf>
    <xf numFmtId="49" fontId="39" fillId="0" borderId="27" xfId="250" quotePrefix="1" applyNumberFormat="1" applyFont="1" applyFill="1" applyBorder="1" applyAlignment="1">
      <alignment horizontal="center" vertical="center"/>
    </xf>
    <xf numFmtId="10" fontId="5" fillId="0" borderId="0" xfId="179" applyNumberFormat="1" applyFont="1" applyBorder="1" applyAlignment="1">
      <alignment vertical="distributed"/>
    </xf>
    <xf numFmtId="43" fontId="50" fillId="0" borderId="0" xfId="116" applyNumberFormat="1" applyFont="1" applyAlignment="1">
      <alignment vertical="distributed"/>
    </xf>
    <xf numFmtId="165" fontId="42" fillId="0" borderId="16" xfId="250" applyFont="1" applyFill="1" applyBorder="1" applyAlignment="1">
      <alignment horizontal="center"/>
    </xf>
    <xf numFmtId="0" fontId="42" fillId="57" borderId="22" xfId="358" applyFont="1" applyFill="1" applyBorder="1" applyAlignment="1">
      <alignment vertical="distributed"/>
    </xf>
    <xf numFmtId="0" fontId="27" fillId="57" borderId="25" xfId="358" applyFont="1" applyFill="1" applyBorder="1" applyAlignment="1">
      <alignment vertical="distributed"/>
    </xf>
    <xf numFmtId="0" fontId="98" fillId="61" borderId="22" xfId="167" applyFont="1" applyFill="1" applyBorder="1" applyAlignment="1">
      <alignment horizontal="center" vertical="center" wrapText="1"/>
    </xf>
    <xf numFmtId="0" fontId="98" fillId="61" borderId="22" xfId="167" applyFont="1" applyFill="1" applyBorder="1" applyAlignment="1">
      <alignment horizontal="left" vertical="center" wrapText="1"/>
    </xf>
    <xf numFmtId="0" fontId="117" fillId="0" borderId="22" xfId="167" applyFont="1" applyBorder="1" applyAlignment="1">
      <alignment horizontal="center" vertical="center" wrapText="1"/>
    </xf>
    <xf numFmtId="0" fontId="117" fillId="0" borderId="0" xfId="167" applyFont="1" applyAlignment="1">
      <alignment horizontal="center" vertical="center" wrapText="1"/>
    </xf>
    <xf numFmtId="0" fontId="99" fillId="0" borderId="22" xfId="250" applyNumberFormat="1" applyFont="1" applyFill="1" applyBorder="1" applyAlignment="1">
      <alignment horizontal="center" vertical="center" wrapText="1"/>
    </xf>
    <xf numFmtId="0" fontId="39" fillId="0" borderId="35" xfId="310" applyNumberFormat="1" applyFont="1" applyBorder="1" applyAlignment="1">
      <alignment horizontal="center" vertical="center"/>
    </xf>
    <xf numFmtId="0" fontId="39" fillId="57" borderId="35" xfId="310" applyNumberFormat="1" applyFont="1" applyFill="1" applyBorder="1" applyAlignment="1">
      <alignment horizontal="center" vertical="center"/>
    </xf>
    <xf numFmtId="0" fontId="42" fillId="0" borderId="35" xfId="0" applyFont="1" applyBorder="1" applyAlignment="1">
      <alignment vertical="distributed"/>
    </xf>
    <xf numFmtId="43" fontId="42" fillId="0" borderId="16" xfId="310" applyFont="1" applyFill="1" applyBorder="1" applyAlignment="1">
      <alignment horizontal="center"/>
    </xf>
    <xf numFmtId="0" fontId="39" fillId="0" borderId="25" xfId="310" applyNumberFormat="1" applyFont="1" applyFill="1" applyBorder="1" applyAlignment="1">
      <alignment horizontal="center" vertical="center" wrapText="1"/>
    </xf>
    <xf numFmtId="0" fontId="29" fillId="61" borderId="39" xfId="250" applyNumberFormat="1" applyFont="1" applyFill="1" applyBorder="1" applyAlignment="1">
      <alignment horizontal="center" vertical="center"/>
    </xf>
    <xf numFmtId="0" fontId="113" fillId="61" borderId="18" xfId="310" applyNumberFormat="1" applyFont="1" applyFill="1" applyBorder="1" applyAlignment="1">
      <alignment horizontal="center" vertical="center"/>
    </xf>
    <xf numFmtId="0" fontId="29" fillId="61" borderId="18" xfId="358" applyFont="1" applyFill="1" applyBorder="1" applyAlignment="1">
      <alignment vertical="distributed" wrapText="1"/>
    </xf>
    <xf numFmtId="43" fontId="95" fillId="61" borderId="18" xfId="310" applyFont="1" applyFill="1" applyBorder="1" applyAlignment="1">
      <alignment horizontal="center"/>
    </xf>
    <xf numFmtId="4" fontId="82" fillId="61" borderId="18" xfId="188" applyNumberFormat="1" applyFont="1" applyFill="1" applyBorder="1" applyAlignment="1">
      <alignment horizontal="right"/>
    </xf>
    <xf numFmtId="43" fontId="29" fillId="61" borderId="18" xfId="310" applyFont="1" applyFill="1" applyBorder="1" applyAlignment="1">
      <alignment horizontal="center"/>
    </xf>
    <xf numFmtId="0" fontId="39" fillId="61" borderId="18" xfId="250" applyNumberFormat="1" applyFont="1" applyFill="1" applyBorder="1" applyAlignment="1">
      <alignment horizontal="center" vertical="center"/>
    </xf>
    <xf numFmtId="165" fontId="29" fillId="61" borderId="18" xfId="250" applyFont="1" applyFill="1" applyBorder="1" applyAlignment="1">
      <alignment horizontal="center"/>
    </xf>
    <xf numFmtId="165" fontId="82" fillId="61" borderId="18" xfId="250" applyFont="1" applyFill="1" applyBorder="1" applyAlignment="1">
      <alignment horizontal="right"/>
    </xf>
    <xf numFmtId="0" fontId="42" fillId="57" borderId="16" xfId="358" applyFont="1" applyFill="1" applyBorder="1" applyAlignment="1">
      <alignment vertical="distributed"/>
    </xf>
    <xf numFmtId="165" fontId="27" fillId="0" borderId="16" xfId="250" applyFont="1" applyFill="1" applyBorder="1" applyAlignment="1">
      <alignment horizontal="right"/>
    </xf>
    <xf numFmtId="0" fontId="102" fillId="61" borderId="18" xfId="310" applyNumberFormat="1" applyFont="1" applyFill="1" applyBorder="1" applyAlignment="1">
      <alignment horizontal="center" vertical="center"/>
    </xf>
    <xf numFmtId="4" fontId="29" fillId="61" borderId="18" xfId="188" applyNumberFormat="1" applyFont="1" applyFill="1" applyBorder="1" applyAlignment="1">
      <alignment horizontal="right"/>
    </xf>
    <xf numFmtId="14" fontId="40" fillId="61" borderId="18" xfId="250" applyNumberFormat="1" applyFont="1" applyFill="1" applyBorder="1" applyAlignment="1">
      <alignment horizontal="center" vertical="center"/>
    </xf>
    <xf numFmtId="165" fontId="29" fillId="61" borderId="18" xfId="250" applyFont="1" applyFill="1" applyBorder="1" applyAlignment="1">
      <alignment horizontal="right"/>
    </xf>
    <xf numFmtId="174" fontId="82" fillId="61" borderId="18" xfId="250" applyNumberFormat="1" applyFont="1" applyFill="1" applyBorder="1" applyAlignment="1">
      <alignment horizontal="right"/>
    </xf>
    <xf numFmtId="4" fontId="27" fillId="57" borderId="35" xfId="250" applyNumberFormat="1" applyFont="1" applyFill="1" applyBorder="1" applyAlignment="1">
      <alignment horizontal="right"/>
    </xf>
    <xf numFmtId="0" fontId="42" fillId="0" borderId="25" xfId="358" applyFont="1" applyBorder="1" applyAlignment="1">
      <alignment vertical="distributed" wrapText="1"/>
    </xf>
    <xf numFmtId="4" fontId="27" fillId="57" borderId="25" xfId="250" applyNumberFormat="1" applyFont="1" applyFill="1" applyBorder="1" applyAlignment="1">
      <alignment horizontal="right"/>
    </xf>
    <xf numFmtId="0" fontId="82" fillId="61" borderId="39" xfId="250" applyNumberFormat="1" applyFont="1" applyFill="1" applyBorder="1" applyAlignment="1">
      <alignment horizontal="center" vertical="center"/>
    </xf>
    <xf numFmtId="0" fontId="87" fillId="61" borderId="18" xfId="120" applyFont="1" applyFill="1" applyBorder="1" applyAlignment="1">
      <alignment vertical="distributed"/>
    </xf>
    <xf numFmtId="0" fontId="82" fillId="61" borderId="18" xfId="120" applyFont="1" applyFill="1" applyBorder="1" applyAlignment="1">
      <alignment vertical="distributed"/>
    </xf>
    <xf numFmtId="165" fontId="82" fillId="61" borderId="18" xfId="250" applyFont="1" applyFill="1" applyBorder="1" applyAlignment="1">
      <alignment horizontal="center"/>
    </xf>
    <xf numFmtId="0" fontId="86" fillId="61" borderId="39" xfId="250" applyNumberFormat="1" applyFont="1" applyFill="1" applyBorder="1" applyAlignment="1">
      <alignment horizontal="right" vertical="center"/>
    </xf>
    <xf numFmtId="0" fontId="87" fillId="61" borderId="18" xfId="250" applyNumberFormat="1" applyFont="1" applyFill="1" applyBorder="1" applyAlignment="1">
      <alignment horizontal="right" vertical="center"/>
    </xf>
    <xf numFmtId="0" fontId="86" fillId="61" borderId="18" xfId="250" applyNumberFormat="1" applyFont="1" applyFill="1" applyBorder="1" applyAlignment="1">
      <alignment vertical="distributed"/>
    </xf>
    <xf numFmtId="0" fontId="86" fillId="61" borderId="18" xfId="250" applyNumberFormat="1" applyFont="1" applyFill="1" applyBorder="1" applyAlignment="1">
      <alignment horizontal="center"/>
    </xf>
    <xf numFmtId="165" fontId="30" fillId="61" borderId="18" xfId="250" applyFont="1" applyFill="1" applyBorder="1" applyAlignment="1">
      <alignment horizontal="center"/>
    </xf>
    <xf numFmtId="165" fontId="30" fillId="61" borderId="18" xfId="250" applyFont="1" applyFill="1" applyBorder="1" applyAlignment="1">
      <alignment horizontal="right"/>
    </xf>
    <xf numFmtId="49" fontId="39" fillId="0" borderId="35" xfId="250" applyNumberFormat="1" applyFont="1" applyFill="1" applyBorder="1" applyAlignment="1">
      <alignment horizontal="center" vertical="center"/>
    </xf>
    <xf numFmtId="0" fontId="27" fillId="24" borderId="35" xfId="0" applyFont="1" applyFill="1" applyBorder="1" applyAlignment="1">
      <alignment vertical="distributed" wrapText="1"/>
    </xf>
    <xf numFmtId="165" fontId="27" fillId="24" borderId="35" xfId="250" applyFont="1" applyFill="1" applyBorder="1" applyAlignment="1">
      <alignment horizontal="center"/>
    </xf>
    <xf numFmtId="49" fontId="39" fillId="61" borderId="18" xfId="250" applyNumberFormat="1" applyFont="1" applyFill="1" applyBorder="1" applyAlignment="1">
      <alignment horizontal="center" vertical="center"/>
    </xf>
    <xf numFmtId="0" fontId="29" fillId="61" borderId="18" xfId="0" applyFont="1" applyFill="1" applyBorder="1" applyAlignment="1">
      <alignment vertical="distributed"/>
    </xf>
    <xf numFmtId="165" fontId="27" fillId="61" borderId="18" xfId="250" applyFont="1" applyFill="1" applyBorder="1" applyAlignment="1">
      <alignment horizontal="center"/>
    </xf>
    <xf numFmtId="4" fontId="83" fillId="61" borderId="18" xfId="250" applyNumberFormat="1" applyFont="1" applyFill="1" applyBorder="1" applyAlignment="1">
      <alignment horizontal="right"/>
    </xf>
    <xf numFmtId="0" fontId="40" fillId="0" borderId="44" xfId="169" quotePrefix="1" applyFont="1" applyBorder="1" applyAlignment="1">
      <alignment horizontal="center" vertical="center"/>
    </xf>
    <xf numFmtId="0" fontId="40" fillId="0" borderId="35" xfId="169" quotePrefix="1" applyFont="1" applyBorder="1" applyAlignment="1">
      <alignment horizontal="left" vertical="center" wrapText="1"/>
    </xf>
    <xf numFmtId="10" fontId="5" fillId="0" borderId="35" xfId="179" applyNumberFormat="1" applyFont="1" applyFill="1" applyBorder="1" applyAlignment="1">
      <alignment horizontal="center" vertical="center"/>
    </xf>
    <xf numFmtId="165" fontId="5" fillId="0" borderId="35" xfId="250" applyFont="1" applyFill="1" applyBorder="1" applyAlignment="1">
      <alignment horizontal="left" vertical="center"/>
    </xf>
    <xf numFmtId="167" fontId="5" fillId="0" borderId="35" xfId="179" applyNumberFormat="1" applyFont="1" applyFill="1" applyBorder="1" applyAlignment="1">
      <alignment horizontal="center"/>
    </xf>
    <xf numFmtId="165" fontId="5" fillId="0" borderId="35" xfId="250" applyFont="1" applyFill="1" applyBorder="1"/>
    <xf numFmtId="165" fontId="5" fillId="0" borderId="35" xfId="250" applyFont="1" applyFill="1" applyBorder="1" applyAlignment="1">
      <alignment horizontal="center" vertical="center"/>
    </xf>
    <xf numFmtId="0" fontId="40" fillId="0" borderId="37" xfId="169" quotePrefix="1" applyFont="1" applyBorder="1" applyAlignment="1">
      <alignment horizontal="center" vertical="center"/>
    </xf>
    <xf numFmtId="0" fontId="40" fillId="0" borderId="25" xfId="169" quotePrefix="1" applyFont="1" applyBorder="1" applyAlignment="1">
      <alignment horizontal="left" vertical="center" wrapText="1"/>
    </xf>
    <xf numFmtId="165" fontId="5" fillId="0" borderId="25" xfId="250" applyFont="1" applyFill="1" applyBorder="1" applyAlignment="1">
      <alignment horizontal="center" vertical="center"/>
    </xf>
    <xf numFmtId="10" fontId="5" fillId="0" borderId="25" xfId="179" applyNumberFormat="1" applyFont="1" applyFill="1" applyBorder="1" applyAlignment="1">
      <alignment horizontal="center" vertical="center"/>
    </xf>
    <xf numFmtId="165" fontId="5" fillId="0" borderId="25" xfId="250" applyFont="1" applyFill="1" applyBorder="1" applyAlignment="1">
      <alignment horizontal="left" vertical="center"/>
    </xf>
    <xf numFmtId="165" fontId="5" fillId="0" borderId="25" xfId="250" applyFont="1" applyFill="1" applyBorder="1"/>
    <xf numFmtId="0" fontId="4" fillId="0" borderId="46" xfId="159" applyFont="1" applyBorder="1" applyAlignment="1">
      <alignment horizontal="center" vertical="center"/>
    </xf>
    <xf numFmtId="0" fontId="29" fillId="0" borderId="16" xfId="159" applyFont="1" applyBorder="1" applyAlignment="1">
      <alignment horizontal="right"/>
    </xf>
    <xf numFmtId="164" fontId="29" fillId="0" borderId="16" xfId="93" applyFont="1" applyFill="1" applyBorder="1" applyAlignment="1">
      <alignment horizontal="center" vertical="center"/>
    </xf>
    <xf numFmtId="10" fontId="29" fillId="0" borderId="16" xfId="179" applyNumberFormat="1" applyFont="1" applyFill="1" applyBorder="1" applyAlignment="1">
      <alignment horizontal="center" vertical="center"/>
    </xf>
    <xf numFmtId="165" fontId="29" fillId="0" borderId="16" xfId="250" applyFont="1" applyFill="1" applyBorder="1" applyAlignment="1">
      <alignment horizontal="center" vertical="center"/>
    </xf>
    <xf numFmtId="165" fontId="29" fillId="0" borderId="79" xfId="250" applyFont="1" applyFill="1" applyBorder="1" applyAlignment="1">
      <alignment horizontal="center" vertical="center"/>
    </xf>
    <xf numFmtId="10" fontId="29" fillId="0" borderId="80" xfId="179" applyNumberFormat="1" applyFont="1" applyFill="1" applyBorder="1" applyAlignment="1">
      <alignment horizontal="center" vertical="center"/>
    </xf>
    <xf numFmtId="165" fontId="29" fillId="0" borderId="17" xfId="250" applyFont="1" applyFill="1" applyBorder="1" applyAlignment="1">
      <alignment horizontal="center" vertical="center"/>
    </xf>
    <xf numFmtId="10" fontId="5" fillId="0" borderId="25" xfId="179" applyNumberFormat="1" applyFont="1" applyFill="1" applyBorder="1" applyAlignment="1">
      <alignment horizontal="center"/>
    </xf>
    <xf numFmtId="0" fontId="40" fillId="0" borderId="46" xfId="169" quotePrefix="1" applyFont="1" applyBorder="1" applyAlignment="1">
      <alignment horizontal="center" vertical="center"/>
    </xf>
    <xf numFmtId="0" fontId="40" fillId="0" borderId="16" xfId="169" quotePrefix="1" applyFont="1" applyBorder="1" applyAlignment="1">
      <alignment horizontal="left" vertical="center" wrapText="1"/>
    </xf>
    <xf numFmtId="165" fontId="5" fillId="0" borderId="16" xfId="250" applyFont="1" applyFill="1" applyBorder="1" applyAlignment="1">
      <alignment horizontal="center" vertical="center"/>
    </xf>
    <xf numFmtId="10" fontId="5" fillId="0" borderId="16" xfId="179" applyNumberFormat="1" applyFont="1" applyFill="1" applyBorder="1" applyAlignment="1">
      <alignment horizontal="center" vertical="center"/>
    </xf>
    <xf numFmtId="165" fontId="5" fillId="0" borderId="16" xfId="250" applyFont="1" applyFill="1" applyBorder="1" applyAlignment="1">
      <alignment horizontal="left" vertical="center"/>
    </xf>
    <xf numFmtId="167" fontId="5" fillId="0" borderId="16" xfId="179" applyNumberFormat="1" applyFont="1" applyFill="1" applyBorder="1" applyAlignment="1">
      <alignment horizontal="center"/>
    </xf>
    <xf numFmtId="165" fontId="5" fillId="0" borderId="16" xfId="250" applyFont="1" applyFill="1" applyBorder="1"/>
    <xf numFmtId="0" fontId="27" fillId="0" borderId="61" xfId="116" applyFont="1" applyBorder="1" applyAlignment="1">
      <alignment horizontal="center" vertical="center"/>
    </xf>
    <xf numFmtId="0" fontId="29" fillId="0" borderId="62" xfId="116" applyFont="1" applyBorder="1"/>
    <xf numFmtId="165" fontId="29" fillId="0" borderId="62" xfId="250" applyFont="1" applyFill="1" applyBorder="1" applyAlignment="1">
      <alignment horizontal="center" vertical="center"/>
    </xf>
    <xf numFmtId="4" fontId="29" fillId="0" borderId="62" xfId="250" applyNumberFormat="1" applyFont="1" applyFill="1" applyBorder="1" applyAlignment="1">
      <alignment horizontal="center"/>
    </xf>
    <xf numFmtId="165" fontId="29" fillId="0" borderId="62" xfId="250" applyFont="1" applyFill="1" applyBorder="1" applyAlignment="1">
      <alignment horizontal="right"/>
    </xf>
    <xf numFmtId="10" fontId="27" fillId="0" borderId="62" xfId="116" applyNumberFormat="1" applyFont="1" applyBorder="1" applyAlignment="1">
      <alignment horizontal="center"/>
    </xf>
    <xf numFmtId="164" fontId="27" fillId="0" borderId="62" xfId="93" applyFont="1" applyFill="1" applyBorder="1"/>
    <xf numFmtId="164" fontId="27" fillId="0" borderId="81" xfId="93" applyFont="1" applyFill="1" applyBorder="1"/>
    <xf numFmtId="10" fontId="27" fillId="0" borderId="82" xfId="116" applyNumberFormat="1" applyFont="1" applyBorder="1" applyAlignment="1">
      <alignment horizontal="center"/>
    </xf>
    <xf numFmtId="0" fontId="40" fillId="61" borderId="32" xfId="116" applyFont="1" applyFill="1" applyBorder="1" applyAlignment="1">
      <alignment horizontal="center"/>
    </xf>
    <xf numFmtId="0" fontId="40" fillId="61" borderId="42" xfId="116" applyFont="1" applyFill="1" applyBorder="1" applyAlignment="1">
      <alignment horizontal="center"/>
    </xf>
    <xf numFmtId="0" fontId="4" fillId="61" borderId="39" xfId="159" applyFont="1" applyFill="1" applyBorder="1" applyAlignment="1">
      <alignment horizontal="center" vertical="center"/>
    </xf>
    <xf numFmtId="0" fontId="29" fillId="61" borderId="18" xfId="159" applyFont="1" applyFill="1" applyBorder="1" applyAlignment="1">
      <alignment horizontal="right"/>
    </xf>
    <xf numFmtId="164" fontId="29" fillId="61" borderId="18" xfId="93" applyFont="1" applyFill="1" applyBorder="1" applyAlignment="1">
      <alignment horizontal="center" vertical="center"/>
    </xf>
    <xf numFmtId="10" fontId="29" fillId="61" borderId="18" xfId="179" applyNumberFormat="1" applyFont="1" applyFill="1" applyBorder="1" applyAlignment="1">
      <alignment horizontal="center"/>
    </xf>
    <xf numFmtId="10" fontId="29" fillId="61" borderId="18" xfId="179" applyNumberFormat="1" applyFont="1" applyFill="1" applyBorder="1" applyAlignment="1">
      <alignment horizontal="center" vertical="center"/>
    </xf>
    <xf numFmtId="165" fontId="29" fillId="61" borderId="18" xfId="250" applyFont="1" applyFill="1" applyBorder="1" applyAlignment="1">
      <alignment horizontal="center" vertical="center"/>
    </xf>
    <xf numFmtId="165" fontId="29" fillId="61" borderId="19" xfId="250" applyFont="1" applyFill="1" applyBorder="1" applyAlignment="1">
      <alignment horizontal="center" vertical="center"/>
    </xf>
    <xf numFmtId="0" fontId="29" fillId="61" borderId="39" xfId="159" applyFont="1" applyFill="1" applyBorder="1" applyAlignment="1">
      <alignment horizontal="center" vertical="center"/>
    </xf>
    <xf numFmtId="0" fontId="29" fillId="61" borderId="39" xfId="116" applyFont="1" applyFill="1" applyBorder="1" applyAlignment="1">
      <alignment horizontal="center" vertical="center"/>
    </xf>
    <xf numFmtId="0" fontId="29" fillId="61" borderId="18" xfId="116" applyFont="1" applyFill="1" applyBorder="1"/>
    <xf numFmtId="164" fontId="29" fillId="61" borderId="18" xfId="93" applyFont="1" applyFill="1" applyBorder="1" applyAlignment="1">
      <alignment horizontal="center"/>
    </xf>
    <xf numFmtId="10" fontId="28" fillId="61" borderId="18" xfId="179" applyNumberFormat="1" applyFont="1" applyFill="1" applyBorder="1" applyAlignment="1">
      <alignment horizontal="center"/>
    </xf>
    <xf numFmtId="165" fontId="27" fillId="61" borderId="18" xfId="116" applyNumberFormat="1" applyFont="1" applyFill="1" applyBorder="1"/>
    <xf numFmtId="165" fontId="27" fillId="61" borderId="19" xfId="116" applyNumberFormat="1" applyFont="1" applyFill="1" applyBorder="1"/>
    <xf numFmtId="164" fontId="29" fillId="0" borderId="63" xfId="93" applyFont="1" applyFill="1" applyBorder="1"/>
    <xf numFmtId="4" fontId="47" fillId="61" borderId="10" xfId="250" applyNumberFormat="1" applyFont="1" applyFill="1" applyBorder="1" applyAlignment="1">
      <alignment horizontal="center" vertical="center"/>
    </xf>
    <xf numFmtId="4" fontId="47" fillId="61" borderId="12" xfId="250" applyNumberFormat="1" applyFont="1" applyFill="1" applyBorder="1" applyAlignment="1">
      <alignment horizontal="center" vertical="center"/>
    </xf>
    <xf numFmtId="4" fontId="47" fillId="61" borderId="21" xfId="250" applyNumberFormat="1" applyFont="1" applyFill="1" applyBorder="1" applyAlignment="1">
      <alignment horizontal="center" vertical="center"/>
    </xf>
    <xf numFmtId="4" fontId="47" fillId="61" borderId="28" xfId="250" applyNumberFormat="1" applyFont="1" applyFill="1" applyBorder="1" applyAlignment="1">
      <alignment horizontal="center" vertical="center"/>
    </xf>
    <xf numFmtId="2" fontId="47" fillId="61" borderId="10" xfId="250" applyNumberFormat="1" applyFont="1" applyFill="1" applyBorder="1" applyAlignment="1">
      <alignment horizontal="center" vertical="center"/>
    </xf>
    <xf numFmtId="2" fontId="47" fillId="61" borderId="12" xfId="250" applyNumberFormat="1" applyFont="1" applyFill="1" applyBorder="1" applyAlignment="1">
      <alignment horizontal="center" vertical="center"/>
    </xf>
    <xf numFmtId="2" fontId="1" fillId="0" borderId="35" xfId="250" applyNumberFormat="1" applyFont="1" applyFill="1" applyBorder="1" applyAlignment="1">
      <alignment horizontal="center" vertical="center"/>
    </xf>
    <xf numFmtId="2" fontId="47" fillId="61" borderId="21" xfId="250" applyNumberFormat="1" applyFont="1" applyFill="1" applyBorder="1" applyAlignment="1">
      <alignment horizontal="center" vertical="center"/>
    </xf>
    <xf numFmtId="2" fontId="47" fillId="61" borderId="28" xfId="250" applyNumberFormat="1" applyFont="1" applyFill="1" applyBorder="1" applyAlignment="1">
      <alignment horizontal="center" vertical="center"/>
    </xf>
    <xf numFmtId="0" fontId="42" fillId="0" borderId="22" xfId="0" applyFont="1" applyBorder="1" applyAlignment="1">
      <alignment vertical="distributed"/>
    </xf>
    <xf numFmtId="0" fontId="27" fillId="57" borderId="35" xfId="120" applyFont="1" applyFill="1" applyBorder="1" applyAlignment="1">
      <alignment vertical="distributed"/>
    </xf>
    <xf numFmtId="164" fontId="80" fillId="0" borderId="0" xfId="93" applyFont="1"/>
    <xf numFmtId="9" fontId="80" fillId="0" borderId="0" xfId="0" applyNumberFormat="1" applyFont="1"/>
    <xf numFmtId="43" fontId="81" fillId="0" borderId="0" xfId="0" applyNumberFormat="1" applyFont="1"/>
    <xf numFmtId="164" fontId="100" fillId="0" borderId="22" xfId="93" applyFont="1" applyBorder="1" applyAlignment="1">
      <alignment horizontal="center" vertical="center" wrapText="1"/>
    </xf>
    <xf numFmtId="0" fontId="27" fillId="57" borderId="35" xfId="358" applyFont="1" applyFill="1" applyBorder="1" applyAlignment="1">
      <alignment wrapText="1"/>
    </xf>
    <xf numFmtId="0" fontId="42" fillId="57" borderId="22" xfId="358" applyFont="1" applyFill="1" applyBorder="1" applyAlignment="1">
      <alignment wrapText="1"/>
    </xf>
    <xf numFmtId="0" fontId="27" fillId="57" borderId="22" xfId="358" applyFont="1" applyFill="1" applyBorder="1" applyAlignment="1">
      <alignment wrapText="1"/>
    </xf>
    <xf numFmtId="0" fontId="42" fillId="57" borderId="35" xfId="358" applyFont="1" applyFill="1" applyBorder="1" applyAlignment="1">
      <alignment wrapText="1"/>
    </xf>
    <xf numFmtId="0" fontId="29" fillId="57" borderId="35" xfId="358" applyFont="1" applyFill="1" applyBorder="1" applyAlignment="1">
      <alignment wrapText="1"/>
    </xf>
    <xf numFmtId="0" fontId="27" fillId="57" borderId="35" xfId="358" applyFont="1" applyFill="1" applyBorder="1" applyAlignment="1">
      <alignment vertical="distributed" wrapText="1"/>
    </xf>
    <xf numFmtId="0" fontId="42" fillId="57" borderId="35" xfId="358" applyFont="1" applyFill="1" applyBorder="1" applyAlignment="1">
      <alignment vertical="distributed" wrapText="1"/>
    </xf>
    <xf numFmtId="0" fontId="42" fillId="57" borderId="25" xfId="358" applyFont="1" applyFill="1" applyBorder="1" applyAlignment="1">
      <alignment wrapText="1"/>
    </xf>
    <xf numFmtId="4" fontId="87" fillId="0" borderId="0" xfId="0" applyNumberFormat="1" applyFont="1" applyAlignment="1">
      <alignment vertical="center"/>
    </xf>
    <xf numFmtId="165" fontId="100" fillId="0" borderId="25" xfId="250" quotePrefix="1" applyFont="1" applyFill="1" applyBorder="1" applyAlignment="1">
      <alignment horizontal="center" vertical="center" wrapText="1"/>
    </xf>
    <xf numFmtId="0" fontId="88" fillId="0" borderId="0" xfId="0" applyFont="1"/>
    <xf numFmtId="165" fontId="118" fillId="0" borderId="22" xfId="250" applyFont="1" applyBorder="1" applyAlignment="1">
      <alignment horizontal="center" vertical="center" wrapText="1"/>
    </xf>
    <xf numFmtId="0" fontId="100" fillId="0" borderId="0" xfId="167" applyFont="1" applyAlignment="1">
      <alignment horizontal="left" vertical="center" wrapText="1"/>
    </xf>
    <xf numFmtId="165" fontId="100" fillId="0" borderId="0" xfId="250" quotePrefix="1" applyFont="1" applyFill="1" applyBorder="1" applyAlignment="1">
      <alignment horizontal="center" vertical="center" wrapText="1"/>
    </xf>
    <xf numFmtId="165" fontId="100" fillId="0" borderId="25" xfId="250" applyFont="1" applyBorder="1" applyAlignment="1">
      <alignment horizontal="center" vertical="center" wrapText="1"/>
    </xf>
    <xf numFmtId="43" fontId="100" fillId="0" borderId="16" xfId="310" applyFont="1" applyBorder="1" applyAlignment="1">
      <alignment horizontal="center" vertical="center" wrapText="1"/>
    </xf>
    <xf numFmtId="0" fontId="27" fillId="57" borderId="22" xfId="358" applyFont="1" applyFill="1" applyBorder="1" applyAlignment="1">
      <alignment vertical="distributed" wrapText="1"/>
    </xf>
    <xf numFmtId="165" fontId="114" fillId="0" borderId="0" xfId="250" applyFont="1" applyAlignment="1">
      <alignment vertical="center"/>
    </xf>
    <xf numFmtId="165" fontId="115" fillId="0" borderId="0" xfId="250" applyFont="1" applyAlignment="1">
      <alignment vertical="center"/>
    </xf>
    <xf numFmtId="165" fontId="114" fillId="0" borderId="0" xfId="250" applyFont="1" applyFill="1" applyBorder="1" applyAlignment="1">
      <alignment horizontal="right"/>
    </xf>
    <xf numFmtId="0" fontId="113" fillId="61" borderId="62" xfId="310" applyNumberFormat="1" applyFont="1" applyFill="1" applyBorder="1" applyAlignment="1">
      <alignment horizontal="center" vertical="center"/>
    </xf>
    <xf numFmtId="0" fontId="29" fillId="61" borderId="62" xfId="358" applyFont="1" applyFill="1" applyBorder="1" applyAlignment="1">
      <alignment vertical="distributed" wrapText="1"/>
    </xf>
    <xf numFmtId="43" fontId="95" fillId="61" borderId="62" xfId="310" applyFont="1" applyFill="1" applyBorder="1" applyAlignment="1">
      <alignment horizontal="center"/>
    </xf>
    <xf numFmtId="4" fontId="82" fillId="61" borderId="62" xfId="188" applyNumberFormat="1" applyFont="1" applyFill="1" applyBorder="1" applyAlignment="1">
      <alignment horizontal="right"/>
    </xf>
    <xf numFmtId="164" fontId="85" fillId="0" borderId="0" xfId="93" applyFont="1" applyAlignment="1">
      <alignment vertical="center"/>
    </xf>
    <xf numFmtId="4" fontId="29" fillId="61" borderId="62" xfId="188" applyNumberFormat="1" applyFont="1" applyFill="1" applyBorder="1" applyAlignment="1">
      <alignment horizontal="right"/>
    </xf>
    <xf numFmtId="0" fontId="113" fillId="61" borderId="86" xfId="310" applyNumberFormat="1" applyFont="1" applyFill="1" applyBorder="1" applyAlignment="1">
      <alignment horizontal="center" vertical="center"/>
    </xf>
    <xf numFmtId="0" fontId="29" fillId="61" borderId="86" xfId="358" applyFont="1" applyFill="1" applyBorder="1" applyAlignment="1">
      <alignment vertical="distributed" wrapText="1"/>
    </xf>
    <xf numFmtId="43" fontId="95" fillId="61" borderId="86" xfId="310" applyFont="1" applyFill="1" applyBorder="1" applyAlignment="1">
      <alignment horizontal="center"/>
    </xf>
    <xf numFmtId="4" fontId="82" fillId="61" borderId="86" xfId="188" applyNumberFormat="1" applyFont="1" applyFill="1" applyBorder="1" applyAlignment="1">
      <alignment horizontal="right"/>
    </xf>
    <xf numFmtId="0" fontId="39" fillId="0" borderId="0" xfId="358" applyFont="1" applyAlignment="1">
      <alignment horizontal="center" vertical="center"/>
    </xf>
    <xf numFmtId="165" fontId="39" fillId="0" borderId="0" xfId="362" applyFont="1" applyFill="1" applyBorder="1" applyAlignment="1">
      <alignment horizontal="center" vertical="center"/>
    </xf>
    <xf numFmtId="0" fontId="39" fillId="0" borderId="32" xfId="310" applyNumberFormat="1" applyFont="1" applyFill="1" applyBorder="1" applyAlignment="1">
      <alignment horizontal="center" vertical="center"/>
    </xf>
    <xf numFmtId="0" fontId="42" fillId="0" borderId="32" xfId="358" applyFont="1" applyBorder="1" applyAlignment="1">
      <alignment vertical="distributed" wrapText="1"/>
    </xf>
    <xf numFmtId="43" fontId="42" fillId="0" borderId="32" xfId="310" applyFont="1" applyFill="1" applyBorder="1" applyAlignment="1">
      <alignment horizontal="center"/>
    </xf>
    <xf numFmtId="4" fontId="27" fillId="57" borderId="32" xfId="250" applyNumberFormat="1" applyFont="1" applyFill="1" applyBorder="1" applyAlignment="1">
      <alignment horizontal="right"/>
    </xf>
    <xf numFmtId="0" fontId="39" fillId="0" borderId="32" xfId="250" applyNumberFormat="1" applyFont="1" applyFill="1" applyBorder="1" applyAlignment="1">
      <alignment horizontal="center" vertical="center"/>
    </xf>
    <xf numFmtId="49" fontId="112" fillId="0" borderId="16" xfId="250" applyNumberFormat="1" applyFont="1" applyFill="1" applyBorder="1" applyAlignment="1">
      <alignment horizontal="center" vertical="center"/>
    </xf>
    <xf numFmtId="0" fontId="39" fillId="0" borderId="16" xfId="310" applyNumberFormat="1" applyFont="1" applyFill="1" applyBorder="1" applyAlignment="1">
      <alignment horizontal="center" vertical="center"/>
    </xf>
    <xf numFmtId="0" fontId="39" fillId="57" borderId="33" xfId="310" applyNumberFormat="1" applyFont="1" applyFill="1" applyBorder="1" applyAlignment="1">
      <alignment horizontal="center" vertical="center"/>
    </xf>
    <xf numFmtId="0" fontId="39" fillId="0" borderId="33" xfId="310" applyNumberFormat="1" applyFont="1" applyFill="1" applyBorder="1" applyAlignment="1">
      <alignment horizontal="center" vertical="center"/>
    </xf>
    <xf numFmtId="0" fontId="27" fillId="0" borderId="33" xfId="358" applyFont="1" applyBorder="1" applyAlignment="1">
      <alignment vertical="distributed" wrapText="1"/>
    </xf>
    <xf numFmtId="165" fontId="27" fillId="0" borderId="33" xfId="250" applyFont="1" applyFill="1" applyBorder="1" applyAlignment="1">
      <alignment horizontal="center"/>
    </xf>
    <xf numFmtId="165" fontId="27" fillId="0" borderId="33" xfId="250" applyFont="1" applyFill="1" applyBorder="1" applyAlignment="1">
      <alignment horizontal="right"/>
    </xf>
    <xf numFmtId="0" fontId="27" fillId="0" borderId="38" xfId="250" applyNumberFormat="1" applyFont="1" applyFill="1" applyBorder="1" applyAlignment="1">
      <alignment horizontal="center" vertical="center"/>
    </xf>
    <xf numFmtId="0" fontId="29" fillId="61" borderId="61" xfId="250" applyNumberFormat="1" applyFont="1" applyFill="1" applyBorder="1" applyAlignment="1">
      <alignment horizontal="center" vertical="center"/>
    </xf>
    <xf numFmtId="0" fontId="27" fillId="0" borderId="31" xfId="250" applyNumberFormat="1" applyFont="1" applyFill="1" applyBorder="1" applyAlignment="1">
      <alignment horizontal="center" vertical="center"/>
    </xf>
    <xf numFmtId="0" fontId="29" fillId="61" borderId="85" xfId="250" applyNumberFormat="1" applyFont="1" applyFill="1" applyBorder="1" applyAlignment="1">
      <alignment horizontal="center" vertical="center"/>
    </xf>
    <xf numFmtId="0" fontId="27" fillId="0" borderId="44" xfId="250" applyNumberFormat="1" applyFont="1" applyFill="1" applyBorder="1" applyAlignment="1">
      <alignment horizontal="center" vertical="center"/>
    </xf>
    <xf numFmtId="0" fontId="27" fillId="0" borderId="30" xfId="250" applyNumberFormat="1" applyFont="1" applyFill="1" applyBorder="1" applyAlignment="1">
      <alignment horizontal="center" vertical="center"/>
    </xf>
    <xf numFmtId="0" fontId="40" fillId="0" borderId="22" xfId="169" quotePrefix="1" applyFont="1" applyBorder="1" applyAlignment="1">
      <alignment horizontal="left" vertical="center" wrapText="1"/>
    </xf>
    <xf numFmtId="165" fontId="5" fillId="0" borderId="22" xfId="250" applyFont="1" applyFill="1" applyBorder="1" applyAlignment="1">
      <alignment horizontal="center" vertical="center"/>
    </xf>
    <xf numFmtId="10" fontId="5" fillId="0" borderId="22" xfId="179" applyNumberFormat="1" applyFont="1" applyFill="1" applyBorder="1" applyAlignment="1">
      <alignment horizontal="center" vertical="center"/>
    </xf>
    <xf numFmtId="167" fontId="5" fillId="0" borderId="25" xfId="179" applyNumberFormat="1" applyFont="1" applyFill="1" applyBorder="1" applyAlignment="1">
      <alignment horizontal="center"/>
    </xf>
    <xf numFmtId="165" fontId="5" fillId="0" borderId="78" xfId="250" applyFont="1" applyFill="1" applyBorder="1"/>
    <xf numFmtId="167" fontId="5" fillId="0" borderId="24" xfId="179" applyNumberFormat="1" applyFont="1" applyFill="1" applyBorder="1" applyAlignment="1">
      <alignment horizontal="center"/>
    </xf>
    <xf numFmtId="165" fontId="5" fillId="0" borderId="26" xfId="250" applyFont="1" applyFill="1" applyBorder="1"/>
    <xf numFmtId="167" fontId="5" fillId="0" borderId="22" xfId="179" applyNumberFormat="1" applyFont="1" applyFill="1" applyBorder="1" applyAlignment="1">
      <alignment horizontal="center"/>
    </xf>
    <xf numFmtId="165" fontId="5" fillId="0" borderId="22" xfId="250" applyFont="1" applyFill="1" applyBorder="1"/>
    <xf numFmtId="165" fontId="5" fillId="0" borderId="57" xfId="250" applyFont="1" applyFill="1" applyBorder="1"/>
    <xf numFmtId="167" fontId="5" fillId="0" borderId="27" xfId="179" applyNumberFormat="1" applyFont="1" applyFill="1" applyBorder="1" applyAlignment="1">
      <alignment horizontal="center"/>
    </xf>
    <xf numFmtId="165" fontId="5" fillId="0" borderId="29" xfId="250" applyFont="1" applyFill="1" applyBorder="1"/>
    <xf numFmtId="0" fontId="77" fillId="61" borderId="36" xfId="116" applyFont="1" applyFill="1" applyBorder="1" applyAlignment="1">
      <alignment horizontal="center" vertical="center"/>
    </xf>
    <xf numFmtId="0" fontId="77" fillId="61" borderId="21" xfId="116" applyFont="1" applyFill="1" applyBorder="1"/>
    <xf numFmtId="165" fontId="77" fillId="61" borderId="0" xfId="250" applyFont="1" applyFill="1" applyBorder="1" applyAlignment="1">
      <alignment horizontal="center" vertical="center"/>
    </xf>
    <xf numFmtId="4" fontId="77" fillId="61" borderId="0" xfId="250" applyNumberFormat="1" applyFont="1" applyFill="1" applyBorder="1" applyAlignment="1">
      <alignment horizontal="center"/>
    </xf>
    <xf numFmtId="165" fontId="77" fillId="61" borderId="0" xfId="250" applyFont="1" applyFill="1" applyBorder="1" applyAlignment="1">
      <alignment horizontal="right"/>
    </xf>
    <xf numFmtId="0" fontId="77" fillId="61" borderId="0" xfId="116" applyFont="1" applyFill="1"/>
    <xf numFmtId="0" fontId="77" fillId="61" borderId="11" xfId="116" applyFont="1" applyFill="1" applyBorder="1"/>
    <xf numFmtId="165" fontId="27" fillId="0" borderId="0" xfId="250" applyFont="1" applyAlignment="1">
      <alignment horizontal="center"/>
    </xf>
    <xf numFmtId="165" fontId="27" fillId="0" borderId="29" xfId="250" applyFont="1" applyFill="1" applyBorder="1" applyAlignment="1">
      <alignment horizontal="right"/>
    </xf>
    <xf numFmtId="165" fontId="27" fillId="0" borderId="45" xfId="250" applyFont="1" applyFill="1" applyBorder="1" applyAlignment="1">
      <alignment horizontal="right"/>
    </xf>
    <xf numFmtId="0" fontId="1" fillId="0" borderId="0" xfId="0" applyFont="1" applyAlignment="1">
      <alignment wrapText="1"/>
    </xf>
    <xf numFmtId="165" fontId="4" fillId="0" borderId="18" xfId="250" applyFont="1" applyFill="1" applyBorder="1" applyAlignment="1">
      <alignment horizontal="center" vertical="center" wrapText="1"/>
    </xf>
    <xf numFmtId="165" fontId="95" fillId="61" borderId="18" xfId="250" applyFont="1" applyFill="1" applyBorder="1" applyAlignment="1">
      <alignment horizontal="right"/>
    </xf>
    <xf numFmtId="165" fontId="27" fillId="0" borderId="25" xfId="250" applyFont="1" applyBorder="1" applyAlignment="1">
      <alignment horizontal="right"/>
    </xf>
    <xf numFmtId="165" fontId="27" fillId="57" borderId="25" xfId="250" applyFont="1" applyFill="1" applyBorder="1" applyAlignment="1">
      <alignment horizontal="right"/>
    </xf>
    <xf numFmtId="165" fontId="27" fillId="57" borderId="35" xfId="250" applyFont="1" applyFill="1" applyBorder="1" applyAlignment="1">
      <alignment horizontal="right"/>
    </xf>
    <xf numFmtId="165" fontId="29" fillId="61" borderId="86" xfId="250" applyFont="1" applyFill="1" applyBorder="1" applyAlignment="1">
      <alignment horizontal="right"/>
    </xf>
    <xf numFmtId="165" fontId="29" fillId="61" borderId="62" xfId="250" applyFont="1" applyFill="1" applyBorder="1" applyAlignment="1">
      <alignment horizontal="right"/>
    </xf>
    <xf numFmtId="165" fontId="27" fillId="0" borderId="35" xfId="250" applyFont="1" applyBorder="1" applyAlignment="1">
      <alignment horizontal="right"/>
    </xf>
    <xf numFmtId="165" fontId="27" fillId="57" borderId="22" xfId="250" applyFont="1" applyFill="1" applyBorder="1" applyAlignment="1">
      <alignment horizontal="right"/>
    </xf>
    <xf numFmtId="165" fontId="27" fillId="0" borderId="32" xfId="250" applyFont="1" applyFill="1" applyBorder="1" applyAlignment="1">
      <alignment horizontal="right"/>
    </xf>
    <xf numFmtId="165" fontId="83" fillId="61" borderId="18" xfId="250" applyFont="1" applyFill="1" applyBorder="1" applyAlignment="1">
      <alignment horizontal="right"/>
    </xf>
    <xf numFmtId="165" fontId="4" fillId="0" borderId="0" xfId="250" applyFont="1" applyAlignment="1">
      <alignment vertical="distributed" wrapText="1"/>
    </xf>
    <xf numFmtId="165" fontId="4" fillId="0" borderId="23" xfId="250" applyFont="1" applyBorder="1" applyAlignment="1"/>
    <xf numFmtId="165" fontId="4" fillId="0" borderId="11" xfId="250" applyFont="1" applyBorder="1" applyAlignment="1"/>
    <xf numFmtId="165" fontId="78" fillId="0" borderId="12" xfId="250" applyFont="1" applyBorder="1" applyAlignment="1"/>
    <xf numFmtId="165" fontId="4" fillId="0" borderId="19" xfId="250" applyFont="1" applyFill="1" applyBorder="1" applyAlignment="1">
      <alignment horizontal="center" vertical="center" wrapText="1"/>
    </xf>
    <xf numFmtId="165" fontId="29" fillId="61" borderId="19" xfId="250" applyFont="1" applyFill="1" applyBorder="1" applyAlignment="1">
      <alignment horizontal="right"/>
    </xf>
    <xf numFmtId="165" fontId="27" fillId="0" borderId="34" xfId="250" applyFont="1" applyFill="1" applyBorder="1" applyAlignment="1">
      <alignment horizontal="right"/>
    </xf>
    <xf numFmtId="165" fontId="42" fillId="24" borderId="26" xfId="250" applyFont="1" applyFill="1" applyBorder="1" applyAlignment="1">
      <alignment horizontal="right"/>
    </xf>
    <xf numFmtId="165" fontId="27" fillId="0" borderId="74" xfId="250" applyFont="1" applyFill="1" applyBorder="1" applyAlignment="1">
      <alignment horizontal="right"/>
    </xf>
    <xf numFmtId="165" fontId="27" fillId="0" borderId="11" xfId="250" applyFont="1" applyFill="1" applyBorder="1" applyAlignment="1">
      <alignment horizontal="right"/>
    </xf>
    <xf numFmtId="165" fontId="27" fillId="0" borderId="26" xfId="250" applyFont="1" applyFill="1" applyBorder="1" applyAlignment="1">
      <alignment horizontal="right"/>
    </xf>
    <xf numFmtId="165" fontId="29" fillId="61" borderId="87" xfId="250" applyFont="1" applyFill="1" applyBorder="1" applyAlignment="1">
      <alignment horizontal="right"/>
    </xf>
    <xf numFmtId="165" fontId="29" fillId="61" borderId="63" xfId="250" applyFont="1" applyFill="1" applyBorder="1" applyAlignment="1">
      <alignment horizontal="right"/>
    </xf>
    <xf numFmtId="165" fontId="27" fillId="0" borderId="17" xfId="250" applyFont="1" applyFill="1" applyBorder="1" applyAlignment="1">
      <alignment horizontal="right"/>
    </xf>
    <xf numFmtId="165" fontId="29" fillId="0" borderId="17" xfId="250" applyFont="1" applyFill="1" applyBorder="1" applyAlignment="1"/>
    <xf numFmtId="165" fontId="29" fillId="61" borderId="19" xfId="250" applyFont="1" applyFill="1" applyBorder="1" applyAlignment="1"/>
    <xf numFmtId="165" fontId="4" fillId="0" borderId="0" xfId="250" applyFont="1" applyAlignment="1">
      <alignment horizontal="left" vertical="distributed" wrapText="1"/>
    </xf>
    <xf numFmtId="4" fontId="83" fillId="0" borderId="0" xfId="250" applyNumberFormat="1" applyFont="1" applyFill="1" applyBorder="1" applyAlignment="1">
      <alignment horizontal="left"/>
    </xf>
    <xf numFmtId="173" fontId="39" fillId="0" borderId="0" xfId="133" applyNumberFormat="1" applyFont="1" applyAlignment="1" applyProtection="1">
      <alignment horizontal="center" vertical="center" wrapText="1"/>
      <protection locked="0"/>
    </xf>
    <xf numFmtId="165" fontId="27" fillId="0" borderId="42" xfId="250" applyFont="1" applyFill="1" applyBorder="1" applyAlignment="1">
      <alignment horizontal="right"/>
    </xf>
    <xf numFmtId="0" fontId="99" fillId="0" borderId="22" xfId="168" applyFont="1" applyBorder="1" applyAlignment="1">
      <alignment horizontal="center" vertical="center" wrapText="1"/>
    </xf>
    <xf numFmtId="0" fontId="99" fillId="0" borderId="22" xfId="168" applyFont="1" applyBorder="1" applyAlignment="1">
      <alignment horizontal="left" vertical="center" wrapText="1"/>
    </xf>
    <xf numFmtId="0" fontId="99" fillId="0" borderId="22" xfId="168" quotePrefix="1" applyFont="1" applyBorder="1" applyAlignment="1">
      <alignment horizontal="center" vertical="center" wrapText="1"/>
    </xf>
    <xf numFmtId="43" fontId="98" fillId="0" borderId="22" xfId="310" applyFont="1" applyFill="1" applyBorder="1" applyAlignment="1">
      <alignment horizontal="center" vertical="center" wrapText="1"/>
    </xf>
    <xf numFmtId="43" fontId="98" fillId="0" borderId="0" xfId="310" applyFont="1" applyFill="1" applyBorder="1" applyAlignment="1">
      <alignment horizontal="center" vertical="center" wrapText="1"/>
    </xf>
    <xf numFmtId="43" fontId="101" fillId="0" borderId="0" xfId="310" applyFont="1" applyFill="1"/>
    <xf numFmtId="165" fontId="100" fillId="0" borderId="25" xfId="250" applyFont="1" applyFill="1" applyBorder="1" applyAlignment="1">
      <alignment horizontal="center" vertical="center" wrapText="1"/>
    </xf>
    <xf numFmtId="0" fontId="100" fillId="0" borderId="25" xfId="167" applyFont="1" applyBorder="1" applyAlignment="1">
      <alignment horizontal="center" vertical="center" wrapText="1"/>
    </xf>
    <xf numFmtId="175" fontId="100" fillId="0" borderId="22" xfId="250" applyNumberFormat="1" applyFont="1" applyFill="1" applyBorder="1" applyAlignment="1">
      <alignment horizontal="center" vertical="center" wrapText="1"/>
    </xf>
    <xf numFmtId="165" fontId="100" fillId="0" borderId="0" xfId="250" applyFont="1" applyFill="1" applyAlignment="1">
      <alignment horizontal="center" vertical="center" wrapText="1"/>
    </xf>
    <xf numFmtId="165" fontId="117" fillId="0" borderId="22" xfId="250" applyFont="1" applyFill="1" applyBorder="1" applyAlignment="1">
      <alignment horizontal="center" vertical="center" wrapText="1"/>
    </xf>
    <xf numFmtId="0" fontId="100" fillId="0" borderId="22" xfId="167" applyFont="1" applyBorder="1" applyAlignment="1">
      <alignment horizontal="justify" vertical="center" wrapText="1"/>
    </xf>
    <xf numFmtId="0" fontId="39" fillId="0" borderId="22" xfId="310" quotePrefix="1" applyNumberFormat="1" applyFont="1" applyFill="1" applyBorder="1" applyAlignment="1">
      <alignment horizontal="center" vertical="center"/>
    </xf>
    <xf numFmtId="43" fontId="119" fillId="0" borderId="22" xfId="310" applyFont="1" applyFill="1" applyBorder="1" applyAlignment="1">
      <alignment horizontal="center" vertical="center" wrapText="1"/>
    </xf>
    <xf numFmtId="43" fontId="98" fillId="0" borderId="25" xfId="310" applyFont="1" applyFill="1" applyBorder="1" applyAlignment="1">
      <alignment horizontal="center" vertical="center" wrapText="1"/>
    </xf>
    <xf numFmtId="165" fontId="110" fillId="0" borderId="0" xfId="250" applyFont="1" applyFill="1" applyAlignment="1">
      <alignment horizontal="center"/>
    </xf>
    <xf numFmtId="0" fontId="120" fillId="0" borderId="0" xfId="116" applyFont="1"/>
    <xf numFmtId="165" fontId="120" fillId="0" borderId="0" xfId="116" applyNumberFormat="1" applyFont="1" applyAlignment="1">
      <alignment horizontal="left"/>
    </xf>
    <xf numFmtId="165" fontId="110" fillId="0" borderId="0" xfId="250" applyFont="1" applyAlignment="1">
      <alignment horizontal="center"/>
    </xf>
    <xf numFmtId="43" fontId="110" fillId="0" borderId="0" xfId="116" applyNumberFormat="1" applyFont="1" applyAlignment="1">
      <alignment horizontal="center"/>
    </xf>
    <xf numFmtId="165" fontId="27" fillId="0" borderId="0" xfId="250" applyFont="1" applyAlignment="1">
      <alignment vertical="center"/>
    </xf>
    <xf numFmtId="0" fontId="27" fillId="0" borderId="37" xfId="362" applyNumberFormat="1" applyFont="1" applyFill="1" applyBorder="1" applyAlignment="1">
      <alignment horizontal="center" vertical="center"/>
    </xf>
    <xf numFmtId="49" fontId="27" fillId="0" borderId="22" xfId="362" quotePrefix="1" applyNumberFormat="1" applyFont="1" applyFill="1" applyBorder="1" applyAlignment="1">
      <alignment horizontal="center" vertical="center" wrapText="1"/>
    </xf>
    <xf numFmtId="165" fontId="27" fillId="0" borderId="22" xfId="362" applyFont="1" applyFill="1" applyBorder="1" applyAlignment="1">
      <alignment horizontal="center"/>
    </xf>
    <xf numFmtId="4" fontId="27" fillId="0" borderId="33" xfId="188" applyNumberFormat="1" applyFont="1" applyFill="1" applyBorder="1" applyAlignment="1">
      <alignment horizontal="right"/>
    </xf>
    <xf numFmtId="0" fontId="27" fillId="0" borderId="30" xfId="362" applyNumberFormat="1" applyFont="1" applyFill="1" applyBorder="1" applyAlignment="1">
      <alignment horizontal="center" vertical="center"/>
    </xf>
    <xf numFmtId="49" fontId="27" fillId="0" borderId="24" xfId="362" quotePrefix="1" applyNumberFormat="1" applyFont="1" applyFill="1" applyBorder="1" applyAlignment="1">
      <alignment horizontal="center" vertical="center" wrapText="1"/>
    </xf>
    <xf numFmtId="0" fontId="27" fillId="0" borderId="25" xfId="358" applyFont="1" applyBorder="1" applyAlignment="1">
      <alignment vertical="distributed" wrapText="1"/>
    </xf>
    <xf numFmtId="4" fontId="27" fillId="0" borderId="22" xfId="188" applyNumberFormat="1" applyFont="1" applyFill="1" applyBorder="1" applyAlignment="1">
      <alignment horizontal="right"/>
    </xf>
    <xf numFmtId="4" fontId="27" fillId="0" borderId="22" xfId="362" applyNumberFormat="1" applyFont="1" applyFill="1" applyBorder="1" applyAlignment="1">
      <alignment horizontal="right"/>
    </xf>
    <xf numFmtId="49" fontId="27" fillId="0" borderId="22" xfId="362" applyNumberFormat="1" applyFont="1" applyFill="1" applyBorder="1" applyAlignment="1">
      <alignment horizontal="center" vertical="center"/>
    </xf>
    <xf numFmtId="0" fontId="27" fillId="0" borderId="22" xfId="358" applyFont="1" applyBorder="1" applyAlignment="1">
      <alignment wrapText="1"/>
    </xf>
    <xf numFmtId="0" fontId="42" fillId="0" borderId="22" xfId="358" applyFont="1" applyBorder="1" applyAlignment="1">
      <alignment wrapText="1"/>
    </xf>
    <xf numFmtId="0" fontId="27" fillId="0" borderId="32" xfId="358" applyFont="1" applyBorder="1" applyAlignment="1">
      <alignment vertical="distributed" wrapText="1"/>
    </xf>
    <xf numFmtId="43" fontId="27" fillId="0" borderId="32" xfId="310" applyFont="1" applyFill="1" applyBorder="1" applyAlignment="1">
      <alignment horizontal="center"/>
    </xf>
    <xf numFmtId="4" fontId="27" fillId="0" borderId="32" xfId="250" applyNumberFormat="1" applyFont="1" applyFill="1" applyBorder="1" applyAlignment="1">
      <alignment horizontal="right"/>
    </xf>
    <xf numFmtId="0" fontId="42" fillId="0" borderId="16" xfId="358" applyFont="1" applyBorder="1" applyAlignment="1">
      <alignment vertical="distributed" wrapText="1"/>
    </xf>
    <xf numFmtId="0" fontId="52" fillId="0" borderId="0" xfId="0" applyFont="1" applyAlignment="1">
      <alignment horizontal="center"/>
    </xf>
    <xf numFmtId="165" fontId="27" fillId="0" borderId="0" xfId="250" applyFont="1" applyAlignment="1">
      <alignment horizontal="center"/>
    </xf>
    <xf numFmtId="164" fontId="31" fillId="0" borderId="43" xfId="95" applyFont="1" applyFill="1" applyBorder="1" applyAlignment="1" applyProtection="1">
      <alignment horizontal="center" vertical="center" wrapText="1"/>
      <protection locked="0"/>
    </xf>
    <xf numFmtId="164" fontId="31" fillId="0" borderId="15" xfId="95" applyFont="1" applyFill="1" applyBorder="1" applyAlignment="1" applyProtection="1">
      <alignment horizontal="center" vertical="center" wrapText="1"/>
      <protection locked="0"/>
    </xf>
    <xf numFmtId="49" fontId="29" fillId="0" borderId="13" xfId="145" applyNumberFormat="1" applyFont="1" applyBorder="1" applyAlignment="1" applyProtection="1">
      <alignment horizontal="center" vertical="center" wrapText="1"/>
      <protection locked="0"/>
    </xf>
    <xf numFmtId="49" fontId="29" fillId="0" borderId="0" xfId="145" applyNumberFormat="1" applyFont="1" applyAlignment="1" applyProtection="1">
      <alignment horizontal="center" vertical="center" wrapText="1"/>
      <protection locked="0"/>
    </xf>
    <xf numFmtId="0" fontId="4" fillId="0" borderId="14" xfId="204" applyNumberFormat="1" applyFont="1" applyFill="1" applyBorder="1" applyAlignment="1" applyProtection="1">
      <alignment horizontal="left" vertical="center"/>
      <protection locked="0"/>
    </xf>
    <xf numFmtId="0" fontId="4" fillId="0" borderId="10" xfId="204" applyNumberFormat="1" applyFont="1" applyFill="1" applyBorder="1" applyAlignment="1" applyProtection="1">
      <alignment horizontal="left" vertical="center"/>
      <protection locked="0"/>
    </xf>
    <xf numFmtId="39" fontId="4" fillId="0" borderId="10" xfId="95" applyNumberFormat="1" applyFont="1" applyFill="1" applyBorder="1" applyAlignment="1" applyProtection="1">
      <alignment horizontal="center" wrapText="1"/>
      <protection locked="0"/>
    </xf>
    <xf numFmtId="0" fontId="29" fillId="61" borderId="39" xfId="120" applyFont="1" applyFill="1" applyBorder="1" applyAlignment="1" applyProtection="1">
      <alignment horizontal="center" vertical="center"/>
      <protection locked="0"/>
    </xf>
    <xf numFmtId="0" fontId="29" fillId="61" borderId="18" xfId="120" applyFont="1" applyFill="1" applyBorder="1" applyAlignment="1" applyProtection="1">
      <alignment horizontal="center" vertical="center"/>
      <protection locked="0"/>
    </xf>
    <xf numFmtId="0" fontId="29" fillId="61" borderId="19" xfId="120" applyFont="1" applyFill="1" applyBorder="1" applyAlignment="1" applyProtection="1">
      <alignment horizontal="center" vertical="center"/>
      <protection locked="0"/>
    </xf>
    <xf numFmtId="0" fontId="29" fillId="0" borderId="13" xfId="204" applyNumberFormat="1" applyFont="1" applyFill="1" applyBorder="1" applyAlignment="1" applyProtection="1">
      <alignment horizontal="left" vertical="center" wrapText="1"/>
      <protection locked="0"/>
    </xf>
    <xf numFmtId="0" fontId="29" fillId="0" borderId="0" xfId="204" applyNumberFormat="1" applyFont="1" applyFill="1" applyBorder="1" applyAlignment="1" applyProtection="1">
      <alignment horizontal="left" vertical="center" wrapText="1"/>
      <protection locked="0"/>
    </xf>
    <xf numFmtId="49" fontId="28" fillId="0" borderId="0" xfId="142" applyNumberFormat="1" applyFont="1" applyAlignment="1" applyProtection="1">
      <alignment horizontal="left" wrapText="1"/>
      <protection locked="0"/>
    </xf>
    <xf numFmtId="49" fontId="4" fillId="0" borderId="0" xfId="142" applyNumberFormat="1" applyFont="1" applyAlignment="1" applyProtection="1">
      <alignment horizontal="center" wrapText="1"/>
      <protection locked="0"/>
    </xf>
    <xf numFmtId="49" fontId="28" fillId="0" borderId="13" xfId="142" applyNumberFormat="1" applyFont="1" applyBorder="1" applyAlignment="1" applyProtection="1">
      <alignment horizontal="left" vertical="center" wrapText="1"/>
      <protection locked="0"/>
    </xf>
    <xf numFmtId="49" fontId="28" fillId="0" borderId="0" xfId="142" applyNumberFormat="1" applyFont="1" applyAlignment="1" applyProtection="1">
      <alignment horizontal="left" vertical="center" wrapText="1"/>
      <protection locked="0"/>
    </xf>
    <xf numFmtId="49" fontId="30" fillId="0" borderId="13" xfId="145" applyNumberFormat="1" applyFont="1" applyBorder="1" applyAlignment="1" applyProtection="1">
      <alignment horizontal="center" vertical="center" wrapText="1"/>
      <protection locked="0"/>
    </xf>
    <xf numFmtId="49" fontId="30" fillId="0" borderId="0" xfId="145" applyNumberFormat="1" applyFont="1" applyAlignment="1" applyProtection="1">
      <alignment horizontal="center" vertical="center" wrapText="1"/>
      <protection locked="0"/>
    </xf>
    <xf numFmtId="0" fontId="29" fillId="62" borderId="36" xfId="250" applyNumberFormat="1" applyFont="1" applyFill="1" applyBorder="1" applyAlignment="1">
      <alignment horizontal="center" vertical="center"/>
    </xf>
    <xf numFmtId="0" fontId="29" fillId="62" borderId="21" xfId="250" applyNumberFormat="1" applyFont="1" applyFill="1" applyBorder="1" applyAlignment="1">
      <alignment horizontal="center" vertical="center"/>
    </xf>
    <xf numFmtId="49" fontId="48" fillId="0" borderId="13" xfId="142" applyNumberFormat="1" applyFont="1" applyBorder="1" applyAlignment="1" applyProtection="1">
      <alignment horizontal="left" vertical="center" wrapText="1"/>
      <protection locked="0"/>
    </xf>
    <xf numFmtId="49" fontId="48" fillId="0" borderId="0" xfId="142" applyNumberFormat="1" applyFont="1" applyAlignment="1" applyProtection="1">
      <alignment horizontal="left" vertical="center" wrapText="1"/>
      <protection locked="0"/>
    </xf>
    <xf numFmtId="0" fontId="34" fillId="0" borderId="0" xfId="161" applyFont="1" applyAlignment="1">
      <alignment horizontal="center"/>
    </xf>
    <xf numFmtId="0" fontId="41" fillId="0" borderId="11" xfId="161" applyFont="1" applyBorder="1" applyAlignment="1">
      <alignment horizontal="center"/>
    </xf>
    <xf numFmtId="0" fontId="47" fillId="0" borderId="47" xfId="204" applyNumberFormat="1" applyFont="1" applyBorder="1" applyAlignment="1" applyProtection="1">
      <alignment horizontal="left" vertical="center"/>
      <protection locked="0"/>
    </xf>
    <xf numFmtId="0" fontId="47" fillId="0" borderId="40" xfId="204" applyNumberFormat="1" applyFont="1" applyBorder="1" applyAlignment="1" applyProtection="1">
      <alignment horizontal="left" vertical="center"/>
      <protection locked="0"/>
    </xf>
    <xf numFmtId="39" fontId="97" fillId="0" borderId="40" xfId="161" applyNumberFormat="1" applyFont="1" applyBorder="1" applyAlignment="1">
      <alignment horizontal="center"/>
    </xf>
    <xf numFmtId="22" fontId="41" fillId="0" borderId="40" xfId="161" applyNumberFormat="1" applyFont="1" applyBorder="1" applyAlignment="1">
      <alignment horizontal="center"/>
    </xf>
    <xf numFmtId="22" fontId="41" fillId="0" borderId="41" xfId="161" applyNumberFormat="1" applyFont="1" applyBorder="1" applyAlignment="1">
      <alignment horizontal="center"/>
    </xf>
    <xf numFmtId="0" fontId="44" fillId="61" borderId="36" xfId="0" applyFont="1" applyFill="1" applyBorder="1" applyAlignment="1">
      <alignment horizontal="center" vertical="center"/>
    </xf>
    <xf numFmtId="0" fontId="44" fillId="61" borderId="21" xfId="0" applyFont="1" applyFill="1" applyBorder="1" applyAlignment="1">
      <alignment horizontal="center" vertical="center"/>
    </xf>
    <xf numFmtId="0" fontId="44" fillId="61" borderId="28" xfId="0" applyFont="1" applyFill="1" applyBorder="1" applyAlignment="1">
      <alignment horizontal="center" vertical="center"/>
    </xf>
    <xf numFmtId="0" fontId="44" fillId="0" borderId="43" xfId="161" applyFont="1" applyBorder="1" applyAlignment="1">
      <alignment horizontal="center"/>
    </xf>
    <xf numFmtId="0" fontId="44" fillId="0" borderId="15" xfId="161" applyFont="1" applyBorder="1" applyAlignment="1">
      <alignment horizontal="center"/>
    </xf>
    <xf numFmtId="0" fontId="46" fillId="0" borderId="13" xfId="161" applyFont="1" applyBorder="1" applyAlignment="1">
      <alignment horizontal="center"/>
    </xf>
    <xf numFmtId="0" fontId="46" fillId="0" borderId="0" xfId="161" applyFont="1" applyAlignment="1">
      <alignment horizontal="center"/>
    </xf>
    <xf numFmtId="0" fontId="47" fillId="0" borderId="13" xfId="161" applyFont="1" applyBorder="1" applyAlignment="1">
      <alignment horizontal="center"/>
    </xf>
    <xf numFmtId="0" fontId="47" fillId="0" borderId="0" xfId="161" applyFont="1" applyAlignment="1">
      <alignment horizontal="center"/>
    </xf>
    <xf numFmtId="0" fontId="46" fillId="0" borderId="13" xfId="204" applyNumberFormat="1" applyFont="1" applyBorder="1" applyAlignment="1" applyProtection="1">
      <alignment horizontal="left" vertical="center" wrapText="1"/>
      <protection locked="0"/>
    </xf>
    <xf numFmtId="0" fontId="46" fillId="0" borderId="0" xfId="204" applyNumberFormat="1" applyFont="1" applyAlignment="1" applyProtection="1">
      <alignment horizontal="left" vertical="center" wrapText="1"/>
      <protection locked="0"/>
    </xf>
    <xf numFmtId="3" fontId="30" fillId="0" borderId="10" xfId="116" applyNumberFormat="1" applyFont="1" applyBorder="1" applyAlignment="1">
      <alignment horizontal="center"/>
    </xf>
    <xf numFmtId="3" fontId="30" fillId="0" borderId="12" xfId="116" applyNumberFormat="1" applyFont="1" applyBorder="1" applyAlignment="1">
      <alignment horizontal="center"/>
    </xf>
    <xf numFmtId="10" fontId="52" fillId="0" borderId="0" xfId="179" applyNumberFormat="1" applyFont="1" applyBorder="1" applyAlignment="1">
      <alignment horizontal="center"/>
    </xf>
    <xf numFmtId="10" fontId="52" fillId="0" borderId="11" xfId="179" applyNumberFormat="1" applyFont="1" applyBorder="1" applyAlignment="1">
      <alignment horizontal="center"/>
    </xf>
    <xf numFmtId="172" fontId="30" fillId="0" borderId="10" xfId="95" applyNumberFormat="1" applyFont="1" applyFill="1" applyBorder="1" applyAlignment="1" applyProtection="1">
      <alignment horizontal="center" wrapText="1"/>
      <protection locked="0"/>
    </xf>
    <xf numFmtId="49" fontId="52" fillId="0" borderId="0" xfId="142" applyNumberFormat="1" applyFont="1" applyAlignment="1" applyProtection="1">
      <alignment horizontal="center" vertical="center"/>
      <protection locked="0"/>
    </xf>
    <xf numFmtId="0" fontId="97" fillId="0" borderId="43" xfId="169" applyFont="1" applyBorder="1" applyAlignment="1">
      <alignment horizontal="center" vertical="center"/>
    </xf>
    <xf numFmtId="0" fontId="97" fillId="0" borderId="15" xfId="169" applyFont="1" applyBorder="1" applyAlignment="1">
      <alignment horizontal="center" vertical="center"/>
    </xf>
    <xf numFmtId="0" fontId="97" fillId="0" borderId="23" xfId="169" applyFont="1" applyBorder="1" applyAlignment="1">
      <alignment horizontal="center" vertical="center"/>
    </xf>
    <xf numFmtId="0" fontId="40" fillId="61" borderId="33" xfId="116" applyFont="1" applyFill="1" applyBorder="1" applyAlignment="1">
      <alignment horizontal="center"/>
    </xf>
    <xf numFmtId="0" fontId="40" fillId="61" borderId="34" xfId="116" applyFont="1" applyFill="1" applyBorder="1" applyAlignment="1">
      <alignment horizontal="center"/>
    </xf>
    <xf numFmtId="0" fontId="40" fillId="61" borderId="38" xfId="116" applyFont="1" applyFill="1" applyBorder="1" applyAlignment="1">
      <alignment horizontal="center" vertical="center"/>
    </xf>
    <xf numFmtId="0" fontId="40" fillId="61" borderId="31" xfId="116" applyFont="1" applyFill="1" applyBorder="1" applyAlignment="1">
      <alignment horizontal="center" vertical="center"/>
    </xf>
    <xf numFmtId="0" fontId="40" fillId="61" borderId="33" xfId="169" applyFont="1" applyFill="1" applyBorder="1" applyAlignment="1">
      <alignment horizontal="center" vertical="center" wrapText="1"/>
    </xf>
    <xf numFmtId="0" fontId="40" fillId="61" borderId="32" xfId="169" applyFont="1" applyFill="1" applyBorder="1" applyAlignment="1">
      <alignment horizontal="center" vertical="center" wrapText="1"/>
    </xf>
    <xf numFmtId="4" fontId="40" fillId="61" borderId="33" xfId="250" applyNumberFormat="1" applyFont="1" applyFill="1" applyBorder="1" applyAlignment="1">
      <alignment horizontal="center" vertical="center" wrapText="1"/>
    </xf>
    <xf numFmtId="4" fontId="40" fillId="61" borderId="32" xfId="250" applyNumberFormat="1" applyFont="1" applyFill="1" applyBorder="1" applyAlignment="1">
      <alignment horizontal="center" vertical="center" wrapText="1"/>
    </xf>
    <xf numFmtId="165" fontId="40" fillId="61" borderId="33" xfId="250" applyFont="1" applyFill="1" applyBorder="1" applyAlignment="1">
      <alignment horizontal="center" vertical="center" wrapText="1"/>
    </xf>
    <xf numFmtId="165" fontId="40" fillId="61" borderId="32" xfId="250" applyFont="1" applyFill="1" applyBorder="1" applyAlignment="1">
      <alignment horizontal="center" vertical="center" wrapText="1"/>
    </xf>
    <xf numFmtId="165" fontId="102" fillId="61" borderId="33" xfId="250" applyFont="1" applyFill="1" applyBorder="1" applyAlignment="1">
      <alignment horizontal="center" vertical="center" wrapText="1"/>
    </xf>
    <xf numFmtId="165" fontId="102" fillId="61" borderId="32" xfId="250" applyFont="1" applyFill="1" applyBorder="1" applyAlignment="1">
      <alignment horizontal="center" vertical="center" wrapText="1"/>
    </xf>
    <xf numFmtId="164" fontId="49" fillId="0" borderId="43" xfId="95" applyFont="1" applyFill="1" applyBorder="1" applyAlignment="1" applyProtection="1">
      <alignment horizontal="center" vertical="center" wrapText="1"/>
      <protection locked="0"/>
    </xf>
    <xf numFmtId="164" fontId="49" fillId="0" borderId="15" xfId="95" applyFont="1" applyFill="1" applyBorder="1" applyAlignment="1" applyProtection="1">
      <alignment horizontal="center" vertical="center" wrapText="1"/>
      <protection locked="0"/>
    </xf>
    <xf numFmtId="0" fontId="30" fillId="0" borderId="13" xfId="204" applyNumberFormat="1" applyFont="1" applyFill="1" applyBorder="1" applyAlignment="1" applyProtection="1">
      <alignment horizontal="left" vertical="distributed"/>
      <protection locked="0"/>
    </xf>
    <xf numFmtId="0" fontId="30" fillId="0" borderId="0" xfId="204" applyNumberFormat="1" applyFont="1" applyFill="1" applyBorder="1" applyAlignment="1" applyProtection="1">
      <alignment horizontal="left" vertical="distributed"/>
      <protection locked="0"/>
    </xf>
    <xf numFmtId="49" fontId="51" fillId="0" borderId="13" xfId="145" applyNumberFormat="1" applyFont="1" applyBorder="1" applyAlignment="1" applyProtection="1">
      <alignment horizontal="center" vertical="center" wrapText="1"/>
      <protection locked="0"/>
    </xf>
    <xf numFmtId="0" fontId="51" fillId="0" borderId="0" xfId="145" applyFont="1" applyAlignment="1" applyProtection="1">
      <alignment horizontal="center" vertical="center" wrapText="1"/>
      <protection locked="0"/>
    </xf>
    <xf numFmtId="49" fontId="30" fillId="0" borderId="0" xfId="142" applyNumberFormat="1" applyFont="1" applyAlignment="1" applyProtection="1">
      <alignment horizontal="center" wrapText="1"/>
      <protection locked="0"/>
    </xf>
    <xf numFmtId="49" fontId="52" fillId="0" borderId="13" xfId="142" applyNumberFormat="1" applyFont="1" applyBorder="1" applyAlignment="1" applyProtection="1">
      <alignment horizontal="left" vertical="center" wrapText="1"/>
      <protection locked="0"/>
    </xf>
    <xf numFmtId="49" fontId="52" fillId="0" borderId="0" xfId="142" applyNumberFormat="1" applyFont="1" applyAlignment="1" applyProtection="1">
      <alignment horizontal="left" vertical="center" wrapText="1"/>
      <protection locked="0"/>
    </xf>
    <xf numFmtId="49" fontId="31" fillId="0" borderId="13" xfId="145" applyNumberFormat="1" applyFont="1" applyBorder="1" applyAlignment="1" applyProtection="1">
      <alignment horizontal="center" vertical="center" wrapText="1"/>
      <protection locked="0"/>
    </xf>
    <xf numFmtId="49" fontId="31" fillId="0" borderId="0" xfId="145" applyNumberFormat="1" applyFont="1" applyAlignment="1" applyProtection="1">
      <alignment horizontal="center" vertical="center" wrapText="1"/>
      <protection locked="0"/>
    </xf>
    <xf numFmtId="49" fontId="52" fillId="0" borderId="0" xfId="142" applyNumberFormat="1" applyFont="1" applyAlignment="1" applyProtection="1">
      <alignment horizontal="left" vertical="center"/>
      <protection locked="0"/>
    </xf>
    <xf numFmtId="49" fontId="52" fillId="0" borderId="13" xfId="142" applyNumberFormat="1" applyFont="1" applyBorder="1" applyAlignment="1" applyProtection="1">
      <alignment horizontal="left" vertical="center"/>
      <protection locked="0"/>
    </xf>
    <xf numFmtId="0" fontId="30" fillId="0" borderId="0" xfId="142" applyFont="1" applyAlignment="1" applyProtection="1">
      <alignment horizontal="center" vertical="distributed" wrapText="1"/>
      <protection locked="0"/>
    </xf>
    <xf numFmtId="0" fontId="53" fillId="0" borderId="47" xfId="204" applyNumberFormat="1" applyFont="1" applyFill="1" applyBorder="1" applyAlignment="1" applyProtection="1">
      <alignment horizontal="left" vertical="center"/>
      <protection locked="0"/>
    </xf>
    <xf numFmtId="0" fontId="53" fillId="0" borderId="40" xfId="204" applyNumberFormat="1" applyFont="1" applyFill="1" applyBorder="1" applyAlignment="1" applyProtection="1">
      <alignment horizontal="left" vertical="center"/>
      <protection locked="0"/>
    </xf>
    <xf numFmtId="0" fontId="53" fillId="0" borderId="13" xfId="204" applyNumberFormat="1" applyFont="1" applyFill="1" applyBorder="1" applyAlignment="1" applyProtection="1">
      <alignment horizontal="left" vertical="center" wrapText="1"/>
      <protection locked="0"/>
    </xf>
    <xf numFmtId="0" fontId="53" fillId="0" borderId="0" xfId="204" applyNumberFormat="1" applyFont="1" applyFill="1" applyBorder="1" applyAlignment="1" applyProtection="1">
      <alignment horizontal="left" vertical="center" wrapText="1"/>
      <protection locked="0"/>
    </xf>
    <xf numFmtId="0" fontId="1" fillId="0" borderId="59" xfId="120" applyFont="1" applyBorder="1" applyAlignment="1">
      <alignment horizontal="center" wrapText="1"/>
    </xf>
    <xf numFmtId="0" fontId="1" fillId="0" borderId="60" xfId="120" applyFont="1" applyBorder="1" applyAlignment="1">
      <alignment horizontal="center" wrapText="1"/>
    </xf>
    <xf numFmtId="0" fontId="47" fillId="0" borderId="36" xfId="120" applyFont="1" applyBorder="1" applyAlignment="1">
      <alignment horizontal="center"/>
    </xf>
    <xf numFmtId="0" fontId="47" fillId="0" borderId="21" xfId="120" applyFont="1" applyBorder="1" applyAlignment="1">
      <alignment horizontal="center"/>
    </xf>
    <xf numFmtId="0" fontId="47" fillId="0" borderId="28" xfId="120" applyFont="1" applyBorder="1" applyAlignment="1">
      <alignment horizontal="center"/>
    </xf>
    <xf numFmtId="0" fontId="103" fillId="61" borderId="36" xfId="120" applyFont="1" applyFill="1" applyBorder="1" applyAlignment="1">
      <alignment horizontal="center" wrapText="1"/>
    </xf>
    <xf numFmtId="0" fontId="103" fillId="61" borderId="21" xfId="120" applyFont="1" applyFill="1" applyBorder="1" applyAlignment="1">
      <alignment horizontal="center" wrapText="1"/>
    </xf>
    <xf numFmtId="0" fontId="103" fillId="61" borderId="28" xfId="120" applyFont="1" applyFill="1" applyBorder="1" applyAlignment="1">
      <alignment horizontal="center" wrapText="1"/>
    </xf>
    <xf numFmtId="0" fontId="48" fillId="0" borderId="43" xfId="120" applyFont="1" applyBorder="1" applyAlignment="1">
      <alignment horizontal="center" vertical="center"/>
    </xf>
    <xf numFmtId="0" fontId="48" fillId="0" borderId="23" xfId="120" applyFont="1" applyBorder="1" applyAlignment="1">
      <alignment horizontal="center" vertical="center"/>
    </xf>
    <xf numFmtId="0" fontId="48" fillId="0" borderId="13" xfId="120" applyFont="1" applyBorder="1" applyAlignment="1">
      <alignment horizontal="center" vertical="center"/>
    </xf>
    <xf numFmtId="0" fontId="48" fillId="0" borderId="11" xfId="120" applyFont="1" applyBorder="1" applyAlignment="1">
      <alignment horizontal="center" vertical="center"/>
    </xf>
    <xf numFmtId="0" fontId="48" fillId="0" borderId="14" xfId="120" applyFont="1" applyBorder="1" applyAlignment="1">
      <alignment horizontal="center" vertical="center"/>
    </xf>
    <xf numFmtId="0" fontId="48" fillId="0" borderId="12" xfId="120" applyFont="1" applyBorder="1" applyAlignment="1">
      <alignment horizontal="center" vertical="center"/>
    </xf>
    <xf numFmtId="0" fontId="1" fillId="0" borderId="43" xfId="120" applyFont="1" applyBorder="1" applyAlignment="1">
      <alignment horizontal="center" vertical="center"/>
    </xf>
    <xf numFmtId="0" fontId="1" fillId="0" borderId="15" xfId="120" applyFont="1" applyBorder="1" applyAlignment="1">
      <alignment horizontal="center" vertical="center"/>
    </xf>
    <xf numFmtId="0" fontId="1" fillId="0" borderId="23" xfId="120" applyFont="1" applyBorder="1" applyAlignment="1">
      <alignment horizontal="center" vertical="center"/>
    </xf>
    <xf numFmtId="0" fontId="1" fillId="0" borderId="13" xfId="120" applyFont="1" applyBorder="1" applyAlignment="1">
      <alignment horizontal="center" vertical="center"/>
    </xf>
    <xf numFmtId="0" fontId="1" fillId="0" borderId="0" xfId="120" applyFont="1" applyAlignment="1">
      <alignment horizontal="center" vertical="center"/>
    </xf>
    <xf numFmtId="0" fontId="1" fillId="0" borderId="11" xfId="120" applyFont="1" applyBorder="1" applyAlignment="1">
      <alignment horizontal="center" vertical="center"/>
    </xf>
    <xf numFmtId="0" fontId="1" fillId="0" borderId="14" xfId="120" applyFont="1" applyBorder="1" applyAlignment="1">
      <alignment horizontal="center" vertical="center"/>
    </xf>
    <xf numFmtId="0" fontId="1" fillId="0" borderId="10" xfId="120" applyFont="1" applyBorder="1" applyAlignment="1">
      <alignment horizontal="center" vertical="center"/>
    </xf>
    <xf numFmtId="0" fontId="1" fillId="0" borderId="12" xfId="120" applyFont="1" applyBorder="1" applyAlignment="1">
      <alignment horizontal="center" vertical="center"/>
    </xf>
    <xf numFmtId="0" fontId="1" fillId="0" borderId="36" xfId="120" applyFont="1" applyBorder="1" applyAlignment="1">
      <alignment horizontal="center"/>
    </xf>
    <xf numFmtId="0" fontId="1" fillId="0" borderId="28" xfId="120" applyFont="1" applyBorder="1" applyAlignment="1">
      <alignment horizontal="center"/>
    </xf>
    <xf numFmtId="0" fontId="1" fillId="0" borderId="48" xfId="358" applyBorder="1" applyAlignment="1">
      <alignment horizontal="center"/>
    </xf>
    <xf numFmtId="0" fontId="1" fillId="0" borderId="50" xfId="358" applyBorder="1" applyAlignment="1">
      <alignment horizontal="center"/>
    </xf>
    <xf numFmtId="0" fontId="1" fillId="0" borderId="51" xfId="358" applyBorder="1" applyAlignment="1">
      <alignment horizontal="left"/>
    </xf>
    <xf numFmtId="0" fontId="1" fillId="0" borderId="49" xfId="358" applyBorder="1" applyAlignment="1">
      <alignment horizontal="left"/>
    </xf>
    <xf numFmtId="0" fontId="1" fillId="0" borderId="50" xfId="358" applyBorder="1" applyAlignment="1">
      <alignment horizontal="left"/>
    </xf>
    <xf numFmtId="0" fontId="1" fillId="0" borderId="56" xfId="358" applyBorder="1" applyAlignment="1">
      <alignment horizontal="center"/>
    </xf>
    <xf numFmtId="0" fontId="1" fillId="0" borderId="27" xfId="358" applyBorder="1" applyAlignment="1">
      <alignment horizontal="center"/>
    </xf>
    <xf numFmtId="0" fontId="1" fillId="0" borderId="57" xfId="358" applyBorder="1" applyAlignment="1">
      <alignment horizontal="left"/>
    </xf>
    <xf numFmtId="0" fontId="1" fillId="0" borderId="58" xfId="358" applyBorder="1" applyAlignment="1">
      <alignment horizontal="left"/>
    </xf>
    <xf numFmtId="0" fontId="1" fillId="0" borderId="27" xfId="358" applyBorder="1" applyAlignment="1">
      <alignment horizontal="left"/>
    </xf>
    <xf numFmtId="0" fontId="1" fillId="0" borderId="83" xfId="358" applyBorder="1" applyAlignment="1">
      <alignment horizontal="center"/>
    </xf>
    <xf numFmtId="0" fontId="1" fillId="0" borderId="77" xfId="358" applyBorder="1" applyAlignment="1">
      <alignment horizontal="center"/>
    </xf>
    <xf numFmtId="0" fontId="1" fillId="0" borderId="76" xfId="358" applyBorder="1" applyAlignment="1">
      <alignment horizontal="left"/>
    </xf>
    <xf numFmtId="0" fontId="1" fillId="0" borderId="84" xfId="358" applyBorder="1" applyAlignment="1">
      <alignment horizontal="left"/>
    </xf>
    <xf numFmtId="0" fontId="1" fillId="0" borderId="77" xfId="358" applyBorder="1" applyAlignment="1">
      <alignment horizontal="left"/>
    </xf>
    <xf numFmtId="0" fontId="47" fillId="61" borderId="36" xfId="120" applyFont="1" applyFill="1" applyBorder="1" applyAlignment="1">
      <alignment horizontal="center"/>
    </xf>
    <xf numFmtId="0" fontId="47" fillId="61" borderId="21" xfId="120" applyFont="1" applyFill="1" applyBorder="1" applyAlignment="1">
      <alignment horizontal="center"/>
    </xf>
    <xf numFmtId="0" fontId="1" fillId="0" borderId="52" xfId="358" applyBorder="1" applyAlignment="1">
      <alignment horizontal="center"/>
    </xf>
    <xf numFmtId="0" fontId="1" fillId="0" borderId="53" xfId="358" applyBorder="1" applyAlignment="1">
      <alignment horizontal="center"/>
    </xf>
    <xf numFmtId="0" fontId="1" fillId="0" borderId="54" xfId="358" applyBorder="1" applyAlignment="1">
      <alignment horizontal="left"/>
    </xf>
    <xf numFmtId="0" fontId="1" fillId="0" borderId="55" xfId="358" applyBorder="1" applyAlignment="1">
      <alignment horizontal="left"/>
    </xf>
    <xf numFmtId="0" fontId="1" fillId="0" borderId="53" xfId="358" applyBorder="1" applyAlignment="1">
      <alignment horizontal="left"/>
    </xf>
    <xf numFmtId="0" fontId="1" fillId="0" borderId="54" xfId="358" applyBorder="1" applyAlignment="1">
      <alignment horizontal="left" vertical="center" wrapText="1"/>
    </xf>
    <xf numFmtId="0" fontId="1" fillId="0" borderId="55" xfId="358" applyBorder="1" applyAlignment="1">
      <alignment horizontal="left" vertical="center" wrapText="1"/>
    </xf>
    <xf numFmtId="0" fontId="1" fillId="0" borderId="53" xfId="358" applyBorder="1" applyAlignment="1">
      <alignment horizontal="left" vertical="center" wrapText="1"/>
    </xf>
    <xf numFmtId="0" fontId="1" fillId="0" borderId="44" xfId="161" applyFont="1" applyBorder="1" applyAlignment="1">
      <alignment horizontal="center" vertical="center"/>
    </xf>
    <xf numFmtId="0" fontId="1" fillId="0" borderId="37" xfId="161" applyFont="1" applyBorder="1" applyAlignment="1">
      <alignment horizontal="center" vertical="center"/>
    </xf>
    <xf numFmtId="0" fontId="1" fillId="0" borderId="35" xfId="161" applyFont="1" applyBorder="1" applyAlignment="1">
      <alignment horizontal="left" vertical="center"/>
    </xf>
    <xf numFmtId="0" fontId="1" fillId="0" borderId="25" xfId="161" applyFont="1" applyBorder="1" applyAlignment="1">
      <alignment horizontal="left" vertical="center"/>
    </xf>
    <xf numFmtId="10" fontId="1" fillId="59" borderId="45" xfId="324" applyNumberFormat="1" applyFont="1" applyFill="1" applyBorder="1" applyAlignment="1" applyProtection="1">
      <alignment horizontal="center" vertical="center"/>
      <protection locked="0"/>
    </xf>
    <xf numFmtId="10" fontId="1" fillId="59" borderId="26" xfId="324" applyNumberFormat="1" applyFont="1" applyFill="1" applyBorder="1" applyAlignment="1" applyProtection="1">
      <alignment horizontal="center" vertical="center"/>
      <protection locked="0"/>
    </xf>
    <xf numFmtId="10" fontId="1" fillId="0" borderId="20" xfId="324" applyNumberFormat="1" applyFont="1" applyBorder="1" applyAlignment="1">
      <alignment horizontal="center" vertical="center"/>
    </xf>
    <xf numFmtId="10" fontId="1" fillId="0" borderId="64" xfId="324" applyNumberFormat="1" applyFont="1" applyBorder="1" applyAlignment="1">
      <alignment horizontal="center" vertical="center"/>
    </xf>
    <xf numFmtId="0" fontId="47" fillId="0" borderId="43" xfId="161" applyFont="1" applyBorder="1" applyAlignment="1">
      <alignment horizontal="center" vertical="center"/>
    </xf>
    <xf numFmtId="0" fontId="47" fillId="0" borderId="15" xfId="161" applyFont="1" applyBorder="1" applyAlignment="1">
      <alignment horizontal="center" vertical="center"/>
    </xf>
    <xf numFmtId="0" fontId="47" fillId="0" borderId="14" xfId="161" applyFont="1" applyBorder="1" applyAlignment="1">
      <alignment horizontal="center" vertical="center"/>
    </xf>
    <xf numFmtId="0" fontId="47" fillId="0" borderId="10" xfId="161" applyFont="1" applyBorder="1" applyAlignment="1">
      <alignment horizontal="center" vertical="center"/>
    </xf>
    <xf numFmtId="10" fontId="47" fillId="58" borderId="23" xfId="161" applyNumberFormat="1" applyFont="1" applyFill="1" applyBorder="1" applyAlignment="1">
      <alignment horizontal="center" vertical="center"/>
    </xf>
    <xf numFmtId="10" fontId="47" fillId="58" borderId="12" xfId="161" applyNumberFormat="1" applyFont="1" applyFill="1" applyBorder="1" applyAlignment="1">
      <alignment horizontal="center" vertical="center"/>
    </xf>
    <xf numFmtId="10" fontId="1" fillId="0" borderId="20" xfId="161" applyNumberFormat="1" applyFont="1" applyBorder="1" applyAlignment="1">
      <alignment horizontal="center" vertical="center"/>
    </xf>
    <xf numFmtId="10" fontId="1" fillId="0" borderId="64" xfId="161" applyNumberFormat="1" applyFont="1" applyBorder="1" applyAlignment="1">
      <alignment horizontal="center" vertical="center"/>
    </xf>
    <xf numFmtId="10" fontId="1" fillId="0" borderId="0" xfId="324" applyNumberFormat="1" applyFont="1" applyBorder="1" applyAlignment="1">
      <alignment horizontal="center" vertical="center"/>
    </xf>
    <xf numFmtId="0" fontId="97" fillId="0" borderId="31" xfId="161" applyFont="1" applyBorder="1" applyAlignment="1">
      <alignment horizontal="right" vertical="center"/>
    </xf>
    <xf numFmtId="0" fontId="97" fillId="0" borderId="32" xfId="161" applyFont="1" applyBorder="1" applyAlignment="1">
      <alignment horizontal="right" vertical="center"/>
    </xf>
    <xf numFmtId="165" fontId="97" fillId="58" borderId="38" xfId="161" applyNumberFormat="1" applyFont="1" applyFill="1" applyBorder="1" applyAlignment="1">
      <alignment horizontal="center" vertical="center" wrapText="1"/>
    </xf>
    <xf numFmtId="165" fontId="97" fillId="58" borderId="33" xfId="161" applyNumberFormat="1" applyFont="1" applyFill="1" applyBorder="1" applyAlignment="1">
      <alignment horizontal="center" vertical="center" wrapText="1"/>
    </xf>
    <xf numFmtId="165" fontId="97" fillId="58" borderId="34" xfId="161" applyNumberFormat="1" applyFont="1" applyFill="1" applyBorder="1" applyAlignment="1">
      <alignment horizontal="center" vertical="center" wrapText="1"/>
    </xf>
    <xf numFmtId="165" fontId="97" fillId="58" borderId="30" xfId="161" applyNumberFormat="1" applyFont="1" applyFill="1" applyBorder="1" applyAlignment="1">
      <alignment horizontal="center" vertical="center" wrapText="1"/>
    </xf>
    <xf numFmtId="165" fontId="97" fillId="58" borderId="22" xfId="161" applyNumberFormat="1" applyFont="1" applyFill="1" applyBorder="1" applyAlignment="1">
      <alignment horizontal="center" vertical="center" wrapText="1"/>
    </xf>
    <xf numFmtId="165" fontId="97" fillId="58" borderId="29" xfId="161" applyNumberFormat="1" applyFont="1" applyFill="1" applyBorder="1" applyAlignment="1">
      <alignment horizontal="center" vertical="center" wrapText="1"/>
    </xf>
    <xf numFmtId="0" fontId="1" fillId="0" borderId="13" xfId="161" applyFont="1" applyBorder="1" applyAlignment="1">
      <alignment horizontal="center" vertical="center"/>
    </xf>
    <xf numFmtId="0" fontId="1" fillId="0" borderId="0" xfId="161" applyFont="1" applyAlignment="1">
      <alignment horizontal="center" vertical="center"/>
    </xf>
    <xf numFmtId="0" fontId="97" fillId="0" borderId="43" xfId="161" applyFont="1" applyBorder="1" applyAlignment="1">
      <alignment horizontal="center" vertical="center"/>
    </xf>
    <xf numFmtId="0" fontId="97" fillId="0" borderId="15" xfId="161" applyFont="1" applyBorder="1" applyAlignment="1">
      <alignment horizontal="center" vertical="center"/>
    </xf>
    <xf numFmtId="0" fontId="97" fillId="0" borderId="23" xfId="161" applyFont="1" applyBorder="1" applyAlignment="1">
      <alignment horizontal="center" vertical="center"/>
    </xf>
    <xf numFmtId="0" fontId="97" fillId="0" borderId="14" xfId="161" applyFont="1" applyBorder="1" applyAlignment="1">
      <alignment horizontal="center" vertical="center"/>
    </xf>
    <xf numFmtId="0" fontId="97" fillId="0" borderId="10" xfId="161" applyFont="1" applyBorder="1" applyAlignment="1">
      <alignment horizontal="center" vertical="center"/>
    </xf>
    <xf numFmtId="0" fontId="97" fillId="0" borderId="12" xfId="161" applyFont="1" applyBorder="1" applyAlignment="1">
      <alignment horizontal="center" vertical="center"/>
    </xf>
    <xf numFmtId="0" fontId="108" fillId="57" borderId="32" xfId="161" applyFont="1" applyFill="1" applyBorder="1" applyAlignment="1">
      <alignment horizontal="center" vertical="center"/>
    </xf>
    <xf numFmtId="0" fontId="97" fillId="0" borderId="33" xfId="161" applyFont="1" applyBorder="1" applyAlignment="1">
      <alignment horizontal="justify" vertical="center" wrapText="1"/>
    </xf>
    <xf numFmtId="0" fontId="97" fillId="0" borderId="34" xfId="161" applyFont="1" applyBorder="1" applyAlignment="1">
      <alignment horizontal="justify" vertical="center" wrapText="1"/>
    </xf>
    <xf numFmtId="49" fontId="108" fillId="58" borderId="43" xfId="161" applyNumberFormat="1" applyFont="1" applyFill="1" applyBorder="1" applyAlignment="1">
      <alignment horizontal="center" vertical="center" wrapText="1"/>
    </xf>
    <xf numFmtId="49" fontId="108" fillId="58" borderId="15" xfId="161" applyNumberFormat="1" applyFont="1" applyFill="1" applyBorder="1" applyAlignment="1">
      <alignment horizontal="center" vertical="center" wrapText="1"/>
    </xf>
    <xf numFmtId="49" fontId="108" fillId="58" borderId="23" xfId="161" applyNumberFormat="1" applyFont="1" applyFill="1" applyBorder="1" applyAlignment="1">
      <alignment horizontal="center" vertical="center" wrapText="1"/>
    </xf>
    <xf numFmtId="10" fontId="45" fillId="0" borderId="44" xfId="324" applyNumberFormat="1" applyFont="1" applyBorder="1" applyAlignment="1">
      <alignment horizontal="center" vertical="center" wrapText="1"/>
    </xf>
    <xf numFmtId="10" fontId="45" fillId="0" borderId="61" xfId="324" applyNumberFormat="1" applyFont="1" applyBorder="1" applyAlignment="1">
      <alignment horizontal="center" vertical="center" wrapText="1"/>
    </xf>
    <xf numFmtId="0" fontId="45" fillId="0" borderId="35" xfId="161" applyFont="1" applyBorder="1" applyAlignment="1">
      <alignment horizontal="center" vertical="center" wrapText="1"/>
    </xf>
    <xf numFmtId="0" fontId="45" fillId="0" borderId="62" xfId="161" applyFont="1" applyBorder="1" applyAlignment="1">
      <alignment horizontal="center" vertical="center" wrapText="1"/>
    </xf>
    <xf numFmtId="0" fontId="45" fillId="0" borderId="45" xfId="161" applyFont="1" applyBorder="1" applyAlignment="1">
      <alignment horizontal="center" vertical="center" wrapText="1"/>
    </xf>
    <xf numFmtId="0" fontId="45" fillId="0" borderId="63" xfId="161" applyFont="1" applyBorder="1" applyAlignment="1">
      <alignment horizontal="center" vertical="center" wrapText="1"/>
    </xf>
    <xf numFmtId="10" fontId="1" fillId="0" borderId="51" xfId="324" applyNumberFormat="1" applyFont="1" applyBorder="1" applyAlignment="1">
      <alignment horizontal="center" vertical="center"/>
    </xf>
    <xf numFmtId="10" fontId="1" fillId="0" borderId="50" xfId="324" applyNumberFormat="1" applyFont="1" applyBorder="1" applyAlignment="1">
      <alignment horizontal="center" vertical="center"/>
    </xf>
    <xf numFmtId="10" fontId="1" fillId="0" borderId="57" xfId="324" applyNumberFormat="1" applyFont="1" applyBorder="1" applyAlignment="1">
      <alignment horizontal="center" vertical="center"/>
    </xf>
    <xf numFmtId="10" fontId="1" fillId="0" borderId="27" xfId="324" applyNumberFormat="1" applyFont="1" applyBorder="1" applyAlignment="1">
      <alignment horizontal="center" vertical="center"/>
    </xf>
    <xf numFmtId="10" fontId="1" fillId="0" borderId="54" xfId="324" applyNumberFormat="1" applyFont="1" applyBorder="1" applyAlignment="1">
      <alignment horizontal="center" vertical="center"/>
    </xf>
    <xf numFmtId="10" fontId="1" fillId="0" borderId="53" xfId="324" applyNumberFormat="1" applyFont="1" applyBorder="1" applyAlignment="1">
      <alignment horizontal="center" vertical="center"/>
    </xf>
    <xf numFmtId="0" fontId="1" fillId="0" borderId="13" xfId="161" applyFont="1" applyBorder="1" applyAlignment="1">
      <alignment vertical="center"/>
    </xf>
    <xf numFmtId="0" fontId="1" fillId="0" borderId="0" xfId="161" applyFont="1" applyAlignment="1">
      <alignment vertical="center"/>
    </xf>
    <xf numFmtId="0" fontId="34" fillId="0" borderId="51" xfId="161" applyFont="1" applyBorder="1" applyAlignment="1">
      <alignment horizontal="center"/>
    </xf>
    <xf numFmtId="0" fontId="34" fillId="0" borderId="50" xfId="161" applyFont="1" applyBorder="1" applyAlignment="1">
      <alignment horizontal="center"/>
    </xf>
    <xf numFmtId="49" fontId="53" fillId="58" borderId="36" xfId="161" applyNumberFormat="1" applyFont="1" applyFill="1" applyBorder="1" applyAlignment="1">
      <alignment horizontal="center" vertical="center"/>
    </xf>
    <xf numFmtId="49" fontId="53" fillId="58" borderId="21" xfId="161" applyNumberFormat="1" applyFont="1" applyFill="1" applyBorder="1" applyAlignment="1">
      <alignment horizontal="center" vertical="center"/>
    </xf>
    <xf numFmtId="49" fontId="53" fillId="58" borderId="28" xfId="161" applyNumberFormat="1" applyFont="1" applyFill="1" applyBorder="1" applyAlignment="1">
      <alignment horizontal="center" vertical="center"/>
    </xf>
    <xf numFmtId="49" fontId="108" fillId="58" borderId="38" xfId="161" applyNumberFormat="1" applyFont="1" applyFill="1" applyBorder="1" applyAlignment="1">
      <alignment horizontal="center" vertical="center" wrapText="1"/>
    </xf>
    <xf numFmtId="49" fontId="108" fillId="58" borderId="33" xfId="161" applyNumberFormat="1" applyFont="1" applyFill="1" applyBorder="1" applyAlignment="1">
      <alignment horizontal="center" vertical="center" wrapText="1"/>
    </xf>
    <xf numFmtId="49" fontId="108" fillId="58" borderId="51" xfId="161" applyNumberFormat="1" applyFont="1" applyFill="1" applyBorder="1" applyAlignment="1">
      <alignment horizontal="center" vertical="center" wrapText="1"/>
    </xf>
    <xf numFmtId="49" fontId="108" fillId="58" borderId="34" xfId="161" applyNumberFormat="1" applyFont="1" applyFill="1" applyBorder="1" applyAlignment="1">
      <alignment horizontal="center" vertical="center" wrapText="1"/>
    </xf>
    <xf numFmtId="49" fontId="108" fillId="58" borderId="30" xfId="161" applyNumberFormat="1" applyFont="1" applyFill="1" applyBorder="1" applyAlignment="1">
      <alignment horizontal="center" vertical="center" wrapText="1"/>
    </xf>
    <xf numFmtId="49" fontId="108" fillId="58" borderId="22" xfId="161" applyNumberFormat="1" applyFont="1" applyFill="1" applyBorder="1" applyAlignment="1">
      <alignment horizontal="center" vertical="center" wrapText="1"/>
    </xf>
    <xf numFmtId="49" fontId="108" fillId="58" borderId="57" xfId="161" applyNumberFormat="1" applyFont="1" applyFill="1" applyBorder="1" applyAlignment="1">
      <alignment horizontal="center" vertical="center" wrapText="1"/>
    </xf>
    <xf numFmtId="49" fontId="108" fillId="58" borderId="29" xfId="161" applyNumberFormat="1" applyFont="1" applyFill="1" applyBorder="1" applyAlignment="1">
      <alignment horizontal="center" vertical="center" wrapText="1"/>
    </xf>
    <xf numFmtId="0" fontId="108" fillId="0" borderId="37" xfId="161" applyFont="1" applyBorder="1" applyAlignment="1">
      <alignment horizontal="center" vertical="center"/>
    </xf>
    <xf numFmtId="0" fontId="108" fillId="0" borderId="31" xfId="161" applyFont="1" applyBorder="1" applyAlignment="1">
      <alignment horizontal="center" vertical="center"/>
    </xf>
    <xf numFmtId="0" fontId="108" fillId="0" borderId="25" xfId="161" applyFont="1" applyBorder="1" applyAlignment="1">
      <alignment horizontal="center" vertical="center"/>
    </xf>
    <xf numFmtId="0" fontId="108" fillId="0" borderId="32" xfId="161" applyFont="1" applyBorder="1" applyAlignment="1">
      <alignment horizontal="center" vertical="center"/>
    </xf>
    <xf numFmtId="0" fontId="108" fillId="0" borderId="26" xfId="161" applyFont="1" applyBorder="1" applyAlignment="1">
      <alignment horizontal="center" vertical="center"/>
    </xf>
    <xf numFmtId="0" fontId="108" fillId="0" borderId="42" xfId="161" applyFont="1" applyBorder="1" applyAlignment="1">
      <alignment horizontal="center" vertical="center"/>
    </xf>
    <xf numFmtId="0" fontId="108" fillId="57" borderId="54" xfId="161" applyFont="1" applyFill="1" applyBorder="1" applyAlignment="1">
      <alignment horizontal="center" vertical="center"/>
    </xf>
    <xf numFmtId="0" fontId="108" fillId="57" borderId="53" xfId="161" applyFont="1" applyFill="1" applyBorder="1" applyAlignment="1">
      <alignment horizontal="center" vertical="center"/>
    </xf>
    <xf numFmtId="0" fontId="45" fillId="0" borderId="0" xfId="161" applyFont="1" applyAlignment="1">
      <alignment horizontal="center" vertical="center" textRotation="90"/>
    </xf>
    <xf numFmtId="0" fontId="97" fillId="58" borderId="36" xfId="161" applyFont="1" applyFill="1" applyBorder="1" applyAlignment="1">
      <alignment horizontal="left" vertical="center" wrapText="1"/>
    </xf>
    <xf numFmtId="0" fontId="97" fillId="58" borderId="28" xfId="161" applyFont="1" applyFill="1" applyBorder="1" applyAlignment="1">
      <alignment horizontal="left" vertical="center" wrapText="1"/>
    </xf>
    <xf numFmtId="0" fontId="97" fillId="58" borderId="39" xfId="161" applyFont="1" applyFill="1" applyBorder="1" applyAlignment="1">
      <alignment horizontal="left" vertical="center"/>
    </xf>
    <xf numFmtId="0" fontId="97" fillId="58" borderId="18" xfId="161" applyFont="1" applyFill="1" applyBorder="1" applyAlignment="1">
      <alignment horizontal="left" vertical="center"/>
    </xf>
    <xf numFmtId="171" fontId="107" fillId="0" borderId="0" xfId="161" applyNumberFormat="1" applyFont="1" applyAlignment="1">
      <alignment horizontal="center" vertical="center"/>
    </xf>
    <xf numFmtId="0" fontId="105" fillId="0" borderId="43" xfId="161" applyFont="1" applyBorder="1" applyAlignment="1">
      <alignment horizontal="center"/>
    </xf>
    <xf numFmtId="0" fontId="105" fillId="0" borderId="15" xfId="161" applyFont="1" applyBorder="1" applyAlignment="1">
      <alignment horizontal="center"/>
    </xf>
    <xf numFmtId="0" fontId="44" fillId="0" borderId="13" xfId="161" applyFont="1" applyBorder="1" applyAlignment="1">
      <alignment horizontal="center"/>
    </xf>
    <xf numFmtId="0" fontId="44" fillId="0" borderId="0" xfId="161" applyFont="1" applyAlignment="1">
      <alignment horizontal="center"/>
    </xf>
    <xf numFmtId="0" fontId="4" fillId="0" borderId="13" xfId="204" applyNumberFormat="1" applyFont="1" applyFill="1" applyBorder="1" applyAlignment="1" applyProtection="1">
      <alignment horizontal="left" vertical="center" wrapText="1"/>
      <protection locked="0"/>
    </xf>
    <xf numFmtId="0" fontId="4" fillId="0" borderId="0" xfId="204" applyNumberFormat="1" applyFont="1" applyFill="1" applyBorder="1" applyAlignment="1" applyProtection="1">
      <alignment horizontal="left" vertical="center" wrapText="1"/>
      <protection locked="0"/>
    </xf>
    <xf numFmtId="0" fontId="4" fillId="0" borderId="0" xfId="142" applyFont="1" applyAlignment="1" applyProtection="1">
      <alignment horizontal="center" wrapText="1"/>
      <protection locked="0"/>
    </xf>
    <xf numFmtId="0" fontId="41" fillId="0" borderId="0" xfId="161" applyFont="1" applyAlignment="1">
      <alignment horizontal="center"/>
    </xf>
    <xf numFmtId="0" fontId="4" fillId="0" borderId="47" xfId="204" applyNumberFormat="1" applyFont="1" applyFill="1" applyBorder="1" applyAlignment="1" applyProtection="1">
      <alignment horizontal="left" vertical="center"/>
      <protection locked="0"/>
    </xf>
    <xf numFmtId="0" fontId="4" fillId="0" borderId="40" xfId="204" applyNumberFormat="1" applyFont="1" applyFill="1" applyBorder="1" applyAlignment="1" applyProtection="1">
      <alignment horizontal="left" vertical="center"/>
      <protection locked="0"/>
    </xf>
    <xf numFmtId="39" fontId="4" fillId="0" borderId="40" xfId="95" applyNumberFormat="1" applyFont="1" applyFill="1" applyBorder="1" applyAlignment="1" applyProtection="1">
      <alignment horizontal="center" wrapText="1"/>
      <protection locked="0"/>
    </xf>
    <xf numFmtId="0" fontId="41" fillId="0" borderId="41" xfId="161" applyFont="1" applyBorder="1" applyAlignment="1">
      <alignment horizontal="center"/>
    </xf>
    <xf numFmtId="0" fontId="46" fillId="58" borderId="43" xfId="161" applyFont="1" applyFill="1" applyBorder="1" applyAlignment="1">
      <alignment horizontal="center" vertical="center"/>
    </xf>
    <xf numFmtId="0" fontId="46" fillId="58" borderId="15" xfId="161" applyFont="1" applyFill="1" applyBorder="1" applyAlignment="1">
      <alignment horizontal="center" vertical="center"/>
    </xf>
    <xf numFmtId="0" fontId="46" fillId="58" borderId="23" xfId="161" applyFont="1" applyFill="1" applyBorder="1" applyAlignment="1">
      <alignment horizontal="center" vertical="center"/>
    </xf>
    <xf numFmtId="0" fontId="46" fillId="58" borderId="14" xfId="161" applyFont="1" applyFill="1" applyBorder="1" applyAlignment="1">
      <alignment horizontal="center" vertical="center"/>
    </xf>
    <xf numFmtId="0" fontId="46" fillId="58" borderId="10" xfId="161" applyFont="1" applyFill="1" applyBorder="1" applyAlignment="1">
      <alignment horizontal="center" vertical="center"/>
    </xf>
    <xf numFmtId="0" fontId="46" fillId="58" borderId="12" xfId="161" applyFont="1" applyFill="1" applyBorder="1" applyAlignment="1">
      <alignment horizontal="center" vertical="center"/>
    </xf>
  </cellXfs>
  <cellStyles count="364">
    <cellStyle name="0,0_x000d__x000a_NA_x000d__x000a_" xfId="1" xr:uid="{00000000-0005-0000-0000-000000000000}"/>
    <cellStyle name="20% - Ênfase1" xfId="2" builtinId="30" customBuiltin="1"/>
    <cellStyle name="20% - Ênfase1 2" xfId="3" xr:uid="{00000000-0005-0000-0000-000002000000}"/>
    <cellStyle name="20% - Ênfase1 3" xfId="4" xr:uid="{00000000-0005-0000-0000-000003000000}"/>
    <cellStyle name="20% - Ênfase2" xfId="5" builtinId="34" customBuiltin="1"/>
    <cellStyle name="20% - Ênfase2 2" xfId="6" xr:uid="{00000000-0005-0000-0000-000005000000}"/>
    <cellStyle name="20% - Ênfase2 3" xfId="7" xr:uid="{00000000-0005-0000-0000-000006000000}"/>
    <cellStyle name="20% - Ênfase3" xfId="8" builtinId="38" customBuiltin="1"/>
    <cellStyle name="20% - Ênfase3 2" xfId="9" xr:uid="{00000000-0005-0000-0000-000008000000}"/>
    <cellStyle name="20% - Ênfase3 3" xfId="10" xr:uid="{00000000-0005-0000-0000-000009000000}"/>
    <cellStyle name="20% - Ênfase4" xfId="11" builtinId="42" customBuiltin="1"/>
    <cellStyle name="20% - Ênfase4 2" xfId="12" xr:uid="{00000000-0005-0000-0000-00000B000000}"/>
    <cellStyle name="20% - Ênfase4 3" xfId="13" xr:uid="{00000000-0005-0000-0000-00000C000000}"/>
    <cellStyle name="20% - Ênfase5" xfId="14" builtinId="46" customBuiltin="1"/>
    <cellStyle name="20% - Ênfase5 2" xfId="15" xr:uid="{00000000-0005-0000-0000-00000E000000}"/>
    <cellStyle name="20% - Ênfase5 3" xfId="16" xr:uid="{00000000-0005-0000-0000-00000F000000}"/>
    <cellStyle name="20% - Ênfase6" xfId="17" builtinId="50" customBuiltin="1"/>
    <cellStyle name="20% - Ênfase6 2" xfId="18" xr:uid="{00000000-0005-0000-0000-000011000000}"/>
    <cellStyle name="20% - Ênfase6 3" xfId="19" xr:uid="{00000000-0005-0000-0000-000012000000}"/>
    <cellStyle name="40% - Ênfase1" xfId="20" builtinId="31" customBuiltin="1"/>
    <cellStyle name="40% - Ênfase1 2" xfId="21" xr:uid="{00000000-0005-0000-0000-000014000000}"/>
    <cellStyle name="40% - Ênfase1 3" xfId="22" xr:uid="{00000000-0005-0000-0000-000015000000}"/>
    <cellStyle name="40% - Ênfase2" xfId="23" builtinId="35" customBuiltin="1"/>
    <cellStyle name="40% - Ênfase2 2" xfId="24" xr:uid="{00000000-0005-0000-0000-000017000000}"/>
    <cellStyle name="40% - Ênfase2 3" xfId="25" xr:uid="{00000000-0005-0000-0000-000018000000}"/>
    <cellStyle name="40% - Ênfase3" xfId="26" builtinId="39" customBuiltin="1"/>
    <cellStyle name="40% - Ênfase3 2" xfId="27" xr:uid="{00000000-0005-0000-0000-00001A000000}"/>
    <cellStyle name="40% - Ênfase3 3" xfId="28" xr:uid="{00000000-0005-0000-0000-00001B000000}"/>
    <cellStyle name="40% - Ênfase4" xfId="29" builtinId="43" customBuiltin="1"/>
    <cellStyle name="40% - Ênfase4 2" xfId="30" xr:uid="{00000000-0005-0000-0000-00001D000000}"/>
    <cellStyle name="40% - Ênfase4 3" xfId="31" xr:uid="{00000000-0005-0000-0000-00001E000000}"/>
    <cellStyle name="40% - Ênfase5" xfId="32" builtinId="47" customBuiltin="1"/>
    <cellStyle name="40% - Ênfase5 2" xfId="33" xr:uid="{00000000-0005-0000-0000-000020000000}"/>
    <cellStyle name="40% - Ênfase5 3" xfId="34" xr:uid="{00000000-0005-0000-0000-000021000000}"/>
    <cellStyle name="40% - Ênfase6" xfId="35" builtinId="51" customBuiltin="1"/>
    <cellStyle name="40% - Ênfase6 2" xfId="36" xr:uid="{00000000-0005-0000-0000-000023000000}"/>
    <cellStyle name="40% - Ênfase6 3" xfId="37" xr:uid="{00000000-0005-0000-0000-000024000000}"/>
    <cellStyle name="60% - Ênfase1" xfId="38" builtinId="32" customBuiltin="1"/>
    <cellStyle name="60% - Ênfase1 2" xfId="39" xr:uid="{00000000-0005-0000-0000-000026000000}"/>
    <cellStyle name="60% - Ênfase1 3" xfId="40" xr:uid="{00000000-0005-0000-0000-000027000000}"/>
    <cellStyle name="60% - Ênfase2" xfId="41" builtinId="36" customBuiltin="1"/>
    <cellStyle name="60% - Ênfase2 2" xfId="42" xr:uid="{00000000-0005-0000-0000-000029000000}"/>
    <cellStyle name="60% - Ênfase2 3" xfId="43" xr:uid="{00000000-0005-0000-0000-00002A000000}"/>
    <cellStyle name="60% - Ênfase3" xfId="44" builtinId="40" customBuiltin="1"/>
    <cellStyle name="60% - Ênfase3 2" xfId="45" xr:uid="{00000000-0005-0000-0000-00002C000000}"/>
    <cellStyle name="60% - Ênfase3 3" xfId="46" xr:uid="{00000000-0005-0000-0000-00002D000000}"/>
    <cellStyle name="60% - Ênfase4" xfId="47" builtinId="44" customBuiltin="1"/>
    <cellStyle name="60% - Ênfase4 2" xfId="48" xr:uid="{00000000-0005-0000-0000-00002F000000}"/>
    <cellStyle name="60% - Ênfase4 3" xfId="49" xr:uid="{00000000-0005-0000-0000-000030000000}"/>
    <cellStyle name="60% - Ênfase5" xfId="50" builtinId="48" customBuiltin="1"/>
    <cellStyle name="60% - Ênfase5 2" xfId="51" xr:uid="{00000000-0005-0000-0000-000032000000}"/>
    <cellStyle name="60% - Ênfase5 3" xfId="52" xr:uid="{00000000-0005-0000-0000-000033000000}"/>
    <cellStyle name="60% - Ênfase6" xfId="53" builtinId="52" customBuiltin="1"/>
    <cellStyle name="60% - Ênfase6 2" xfId="54" xr:uid="{00000000-0005-0000-0000-000035000000}"/>
    <cellStyle name="60% - Ênfase6 3" xfId="55" xr:uid="{00000000-0005-0000-0000-000036000000}"/>
    <cellStyle name="Bom" xfId="56" builtinId="26" customBuiltin="1"/>
    <cellStyle name="Bom 2" xfId="57" xr:uid="{00000000-0005-0000-0000-000038000000}"/>
    <cellStyle name="Bom 3" xfId="58" xr:uid="{00000000-0005-0000-0000-000039000000}"/>
    <cellStyle name="Cálculo" xfId="59" builtinId="22" customBuiltin="1"/>
    <cellStyle name="Cálculo 2" xfId="60" xr:uid="{00000000-0005-0000-0000-00003B000000}"/>
    <cellStyle name="Cálculo 3" xfId="61" xr:uid="{00000000-0005-0000-0000-00003C000000}"/>
    <cellStyle name="Célula de Verificação" xfId="62" builtinId="23" customBuiltin="1"/>
    <cellStyle name="Célula de Verificação 2" xfId="63" xr:uid="{00000000-0005-0000-0000-00003E000000}"/>
    <cellStyle name="Célula de Verificação 3" xfId="64" xr:uid="{00000000-0005-0000-0000-00003F000000}"/>
    <cellStyle name="Célula Vinculada" xfId="65" builtinId="24" customBuiltin="1"/>
    <cellStyle name="Célula Vinculada 2" xfId="66" xr:uid="{00000000-0005-0000-0000-000041000000}"/>
    <cellStyle name="Célula Vinculada 3" xfId="67" xr:uid="{00000000-0005-0000-0000-000042000000}"/>
    <cellStyle name="Ênfase1" xfId="68" builtinId="29" customBuiltin="1"/>
    <cellStyle name="Ênfase1 2" xfId="69" xr:uid="{00000000-0005-0000-0000-000044000000}"/>
    <cellStyle name="Ênfase1 3" xfId="70" xr:uid="{00000000-0005-0000-0000-000045000000}"/>
    <cellStyle name="Ênfase2" xfId="71" builtinId="33" customBuiltin="1"/>
    <cellStyle name="Ênfase2 2" xfId="72" xr:uid="{00000000-0005-0000-0000-000047000000}"/>
    <cellStyle name="Ênfase2 3" xfId="73" xr:uid="{00000000-0005-0000-0000-000048000000}"/>
    <cellStyle name="Ênfase3" xfId="74" builtinId="37" customBuiltin="1"/>
    <cellStyle name="Ênfase3 2" xfId="75" xr:uid="{00000000-0005-0000-0000-00004A000000}"/>
    <cellStyle name="Ênfase3 3" xfId="76" xr:uid="{00000000-0005-0000-0000-00004B000000}"/>
    <cellStyle name="Ênfase4" xfId="77" builtinId="41" customBuiltin="1"/>
    <cellStyle name="Ênfase4 2" xfId="78" xr:uid="{00000000-0005-0000-0000-00004D000000}"/>
    <cellStyle name="Ênfase4 3" xfId="79" xr:uid="{00000000-0005-0000-0000-00004E000000}"/>
    <cellStyle name="Ênfase5" xfId="80" builtinId="45" customBuiltin="1"/>
    <cellStyle name="Ênfase5 2" xfId="81" xr:uid="{00000000-0005-0000-0000-000050000000}"/>
    <cellStyle name="Ênfase5 3" xfId="82" xr:uid="{00000000-0005-0000-0000-000051000000}"/>
    <cellStyle name="Ênfase6" xfId="83" builtinId="49" customBuiltin="1"/>
    <cellStyle name="Ênfase6 2" xfId="84" xr:uid="{00000000-0005-0000-0000-000053000000}"/>
    <cellStyle name="Ênfase6 3" xfId="85" xr:uid="{00000000-0005-0000-0000-000054000000}"/>
    <cellStyle name="Entrada" xfId="86" builtinId="20" customBuiltin="1"/>
    <cellStyle name="Entrada 2" xfId="87" xr:uid="{00000000-0005-0000-0000-000056000000}"/>
    <cellStyle name="Entrada 3" xfId="88" xr:uid="{00000000-0005-0000-0000-000057000000}"/>
    <cellStyle name="Hiperlink 2" xfId="89" xr:uid="{00000000-0005-0000-0000-000058000000}"/>
    <cellStyle name="Incorreto 2" xfId="90" xr:uid="{00000000-0005-0000-0000-000059000000}"/>
    <cellStyle name="Incorreto 3" xfId="91" xr:uid="{00000000-0005-0000-0000-00005A000000}"/>
    <cellStyle name="Indefinido" xfId="92" xr:uid="{00000000-0005-0000-0000-00005B000000}"/>
    <cellStyle name="Moeda" xfId="93" builtinId="4"/>
    <cellStyle name="Moeda 2" xfId="94" xr:uid="{00000000-0005-0000-0000-00005D000000}"/>
    <cellStyle name="Moeda 2 2" xfId="95" xr:uid="{00000000-0005-0000-0000-00005E000000}"/>
    <cellStyle name="Moeda 2 2 2" xfId="96" xr:uid="{00000000-0005-0000-0000-00005F000000}"/>
    <cellStyle name="Moeda 2 2 3" xfId="361" xr:uid="{00000000-0005-0000-0000-000060000000}"/>
    <cellStyle name="Moeda 2 3" xfId="97" xr:uid="{00000000-0005-0000-0000-000061000000}"/>
    <cellStyle name="Moeda 2 4" xfId="98" xr:uid="{00000000-0005-0000-0000-000062000000}"/>
    <cellStyle name="Moeda 2 5" xfId="99" xr:uid="{00000000-0005-0000-0000-000063000000}"/>
    <cellStyle name="Moeda 2 5 2" xfId="100" xr:uid="{00000000-0005-0000-0000-000064000000}"/>
    <cellStyle name="Moeda 2 5 2 2" xfId="101" xr:uid="{00000000-0005-0000-0000-000065000000}"/>
    <cellStyle name="Moeda 2 5 3" xfId="102" xr:uid="{00000000-0005-0000-0000-000066000000}"/>
    <cellStyle name="Moeda 2 6" xfId="103" xr:uid="{00000000-0005-0000-0000-000067000000}"/>
    <cellStyle name="Moeda 2 6 2" xfId="104" xr:uid="{00000000-0005-0000-0000-000068000000}"/>
    <cellStyle name="Moeda 2 6 2 2" xfId="105" xr:uid="{00000000-0005-0000-0000-000069000000}"/>
    <cellStyle name="Moeda 2 6 3" xfId="106" xr:uid="{00000000-0005-0000-0000-00006A000000}"/>
    <cellStyle name="Moeda 2 6 3 2" xfId="107" xr:uid="{00000000-0005-0000-0000-00006B000000}"/>
    <cellStyle name="Moeda 2 6 4" xfId="108" xr:uid="{00000000-0005-0000-0000-00006C000000}"/>
    <cellStyle name="Moeda 3" xfId="109" xr:uid="{00000000-0005-0000-0000-00006D000000}"/>
    <cellStyle name="Moeda 3 2" xfId="110" xr:uid="{00000000-0005-0000-0000-00006E000000}"/>
    <cellStyle name="Moeda 4" xfId="111" xr:uid="{00000000-0005-0000-0000-00006F000000}"/>
    <cellStyle name="Moeda 7" xfId="112" xr:uid="{00000000-0005-0000-0000-000070000000}"/>
    <cellStyle name="Neutra 2" xfId="113" xr:uid="{00000000-0005-0000-0000-000071000000}"/>
    <cellStyle name="Neutra 3" xfId="114" xr:uid="{00000000-0005-0000-0000-000072000000}"/>
    <cellStyle name="Normal" xfId="0" builtinId="0"/>
    <cellStyle name="Normal 10" xfId="115" xr:uid="{00000000-0005-0000-0000-000074000000}"/>
    <cellStyle name="Normal 10 2" xfId="116" xr:uid="{00000000-0005-0000-0000-000075000000}"/>
    <cellStyle name="Normal 10 2 2" xfId="117" xr:uid="{00000000-0005-0000-0000-000076000000}"/>
    <cellStyle name="Normal 11" xfId="118" xr:uid="{00000000-0005-0000-0000-000077000000}"/>
    <cellStyle name="Normal 2" xfId="119" xr:uid="{00000000-0005-0000-0000-000078000000}"/>
    <cellStyle name="Normal 2 2" xfId="120" xr:uid="{00000000-0005-0000-0000-000079000000}"/>
    <cellStyle name="Normal 2 2 2" xfId="121" xr:uid="{00000000-0005-0000-0000-00007A000000}"/>
    <cellStyle name="Normal 2 2 2 2" xfId="358" xr:uid="{00000000-0005-0000-0000-00007B000000}"/>
    <cellStyle name="Normal 2 2 3" xfId="122" xr:uid="{00000000-0005-0000-0000-00007C000000}"/>
    <cellStyle name="Normal 2 3" xfId="123" xr:uid="{00000000-0005-0000-0000-00007D000000}"/>
    <cellStyle name="Normal 2 4" xfId="124" xr:uid="{00000000-0005-0000-0000-00007E000000}"/>
    <cellStyle name="Normal 3" xfId="125" xr:uid="{00000000-0005-0000-0000-00007F000000}"/>
    <cellStyle name="Normal 3 2" xfId="126" xr:uid="{00000000-0005-0000-0000-000080000000}"/>
    <cellStyle name="Normal 3 2 4" xfId="127" xr:uid="{00000000-0005-0000-0000-000081000000}"/>
    <cellStyle name="Normal 3 3" xfId="128" xr:uid="{00000000-0005-0000-0000-000082000000}"/>
    <cellStyle name="Normal 4" xfId="129" xr:uid="{00000000-0005-0000-0000-000083000000}"/>
    <cellStyle name="Normal 4 10" xfId="130" xr:uid="{00000000-0005-0000-0000-000084000000}"/>
    <cellStyle name="Normal 4 10 2" xfId="131" xr:uid="{00000000-0005-0000-0000-000085000000}"/>
    <cellStyle name="Normal 4 11" xfId="132" xr:uid="{00000000-0005-0000-0000-000086000000}"/>
    <cellStyle name="Normal 4 11 2" xfId="133" xr:uid="{00000000-0005-0000-0000-000087000000}"/>
    <cellStyle name="Normal 4 12" xfId="134" xr:uid="{00000000-0005-0000-0000-000088000000}"/>
    <cellStyle name="Normal 4 12 2" xfId="135" xr:uid="{00000000-0005-0000-0000-000089000000}"/>
    <cellStyle name="Normal 4 13" xfId="136" xr:uid="{00000000-0005-0000-0000-00008A000000}"/>
    <cellStyle name="Normal 4 13 2" xfId="137" xr:uid="{00000000-0005-0000-0000-00008B000000}"/>
    <cellStyle name="Normal 4 14" xfId="138" xr:uid="{00000000-0005-0000-0000-00008C000000}"/>
    <cellStyle name="Normal 4 14 2" xfId="139" xr:uid="{00000000-0005-0000-0000-00008D000000}"/>
    <cellStyle name="Normal 4 15" xfId="140" xr:uid="{00000000-0005-0000-0000-00008E000000}"/>
    <cellStyle name="Normal 4 15 2" xfId="141" xr:uid="{00000000-0005-0000-0000-00008F000000}"/>
    <cellStyle name="Normal 4 2" xfId="142" xr:uid="{00000000-0005-0000-0000-000090000000}"/>
    <cellStyle name="Normal 4 2 2" xfId="143" xr:uid="{00000000-0005-0000-0000-000091000000}"/>
    <cellStyle name="Normal 4 2 3" xfId="144" xr:uid="{00000000-0005-0000-0000-000092000000}"/>
    <cellStyle name="Normal 4 2 4" xfId="359" xr:uid="{00000000-0005-0000-0000-000093000000}"/>
    <cellStyle name="Normal 4 3" xfId="145" xr:uid="{00000000-0005-0000-0000-000094000000}"/>
    <cellStyle name="Normal 4 4" xfId="146" xr:uid="{00000000-0005-0000-0000-000095000000}"/>
    <cellStyle name="Normal 4 4 2" xfId="147" xr:uid="{00000000-0005-0000-0000-000096000000}"/>
    <cellStyle name="Normal 4 4 3" xfId="148" xr:uid="{00000000-0005-0000-0000-000097000000}"/>
    <cellStyle name="Normal 4 5" xfId="149" xr:uid="{00000000-0005-0000-0000-000098000000}"/>
    <cellStyle name="Normal 4 5 2" xfId="150" xr:uid="{00000000-0005-0000-0000-000099000000}"/>
    <cellStyle name="Normal 4 6" xfId="151" xr:uid="{00000000-0005-0000-0000-00009A000000}"/>
    <cellStyle name="Normal 4 7" xfId="152" xr:uid="{00000000-0005-0000-0000-00009B000000}"/>
    <cellStyle name="Normal 4 7 2" xfId="153" xr:uid="{00000000-0005-0000-0000-00009C000000}"/>
    <cellStyle name="Normal 4 7 3" xfId="154" xr:uid="{00000000-0005-0000-0000-00009D000000}"/>
    <cellStyle name="Normal 4 8" xfId="155" xr:uid="{00000000-0005-0000-0000-00009E000000}"/>
    <cellStyle name="Normal 4 8 2" xfId="156" xr:uid="{00000000-0005-0000-0000-00009F000000}"/>
    <cellStyle name="Normal 4 9" xfId="157" xr:uid="{00000000-0005-0000-0000-0000A0000000}"/>
    <cellStyle name="Normal 4__ORÇAMENTO" xfId="158" xr:uid="{00000000-0005-0000-0000-0000A1000000}"/>
    <cellStyle name="Normal 5" xfId="159" xr:uid="{00000000-0005-0000-0000-0000A2000000}"/>
    <cellStyle name="Normal 5 2" xfId="160" xr:uid="{00000000-0005-0000-0000-0000A3000000}"/>
    <cellStyle name="Normal 6" xfId="161" xr:uid="{00000000-0005-0000-0000-0000A4000000}"/>
    <cellStyle name="Normal 6 2" xfId="162" xr:uid="{00000000-0005-0000-0000-0000A5000000}"/>
    <cellStyle name="Normal 7" xfId="163" xr:uid="{00000000-0005-0000-0000-0000A6000000}"/>
    <cellStyle name="Normal 7 2" xfId="164" xr:uid="{00000000-0005-0000-0000-0000A7000000}"/>
    <cellStyle name="Normal 8" xfId="165" xr:uid="{00000000-0005-0000-0000-0000A8000000}"/>
    <cellStyle name="Normal 9" xfId="166" xr:uid="{00000000-0005-0000-0000-0000A9000000}"/>
    <cellStyle name="Normal_Pesquisa no referencial 10 de maio de 2013" xfId="167" xr:uid="{00000000-0005-0000-0000-0000AA000000}"/>
    <cellStyle name="Normal_Pesquisa no referencial 10 de maio de 2013 2" xfId="168" xr:uid="{00000000-0005-0000-0000-0000AB000000}"/>
    <cellStyle name="Normal_Relação de material_ESTACIONAMENTO_PAF_I" xfId="169" xr:uid="{00000000-0005-0000-0000-0000AC000000}"/>
    <cellStyle name="Nota" xfId="170" builtinId="10" customBuiltin="1"/>
    <cellStyle name="Nota 2" xfId="171" xr:uid="{00000000-0005-0000-0000-0000AE000000}"/>
    <cellStyle name="Nota 3" xfId="172" xr:uid="{00000000-0005-0000-0000-0000AF000000}"/>
    <cellStyle name="Nota 4" xfId="173" xr:uid="{00000000-0005-0000-0000-0000B0000000}"/>
    <cellStyle name="Nota 5" xfId="174" xr:uid="{00000000-0005-0000-0000-0000B1000000}"/>
    <cellStyle name="Nota 5 2" xfId="175" xr:uid="{00000000-0005-0000-0000-0000B2000000}"/>
    <cellStyle name="Nota 6" xfId="176" xr:uid="{00000000-0005-0000-0000-0000B3000000}"/>
    <cellStyle name="Nota 6 2" xfId="177" xr:uid="{00000000-0005-0000-0000-0000B4000000}"/>
    <cellStyle name="Nota 6 3" xfId="178" xr:uid="{00000000-0005-0000-0000-0000B5000000}"/>
    <cellStyle name="Porcentagem" xfId="179" builtinId="5"/>
    <cellStyle name="Porcentagem 2" xfId="180" xr:uid="{00000000-0005-0000-0000-0000B7000000}"/>
    <cellStyle name="Porcentagem 3" xfId="181" xr:uid="{00000000-0005-0000-0000-0000B8000000}"/>
    <cellStyle name="Porcentagem 4" xfId="182" xr:uid="{00000000-0005-0000-0000-0000B9000000}"/>
    <cellStyle name="Porcentagem 5" xfId="363" xr:uid="{00000000-0005-0000-0000-0000BA000000}"/>
    <cellStyle name="Saída" xfId="183" builtinId="21" customBuiltin="1"/>
    <cellStyle name="Saída 2" xfId="184" xr:uid="{00000000-0005-0000-0000-0000BC000000}"/>
    <cellStyle name="Saída 3" xfId="185" xr:uid="{00000000-0005-0000-0000-0000BD000000}"/>
    <cellStyle name="Separador de m" xfId="186" xr:uid="{00000000-0005-0000-0000-0000BE000000}"/>
    <cellStyle name="Separador de milhares 2" xfId="187" xr:uid="{00000000-0005-0000-0000-0000BF000000}"/>
    <cellStyle name="Separador de milhares 2 2" xfId="188" xr:uid="{00000000-0005-0000-0000-0000C0000000}"/>
    <cellStyle name="Separador de milhares 2 2 2" xfId="189" xr:uid="{00000000-0005-0000-0000-0000C1000000}"/>
    <cellStyle name="Separador de milhares 2 2 2 2" xfId="190" xr:uid="{00000000-0005-0000-0000-0000C2000000}"/>
    <cellStyle name="Separador de milhares 2 2 2 2 2" xfId="191" xr:uid="{00000000-0005-0000-0000-0000C3000000}"/>
    <cellStyle name="Separador de milhares 2 2 2 3" xfId="192" xr:uid="{00000000-0005-0000-0000-0000C4000000}"/>
    <cellStyle name="Separador de milhares 2 2 3" xfId="193" xr:uid="{00000000-0005-0000-0000-0000C5000000}"/>
    <cellStyle name="Separador de milhares 2 2 3 2" xfId="194" xr:uid="{00000000-0005-0000-0000-0000C6000000}"/>
    <cellStyle name="Separador de milhares 2 2 4" xfId="195" xr:uid="{00000000-0005-0000-0000-0000C7000000}"/>
    <cellStyle name="Separador de milhares 2 3" xfId="196" xr:uid="{00000000-0005-0000-0000-0000C8000000}"/>
    <cellStyle name="Separador de milhares 2 3 2" xfId="197" xr:uid="{00000000-0005-0000-0000-0000C9000000}"/>
    <cellStyle name="Separador de milhares 2 3 2 2" xfId="198" xr:uid="{00000000-0005-0000-0000-0000CA000000}"/>
    <cellStyle name="Separador de milhares 2 3 2 2 2" xfId="199" xr:uid="{00000000-0005-0000-0000-0000CB000000}"/>
    <cellStyle name="Separador de milhares 2 3 2 3" xfId="200" xr:uid="{00000000-0005-0000-0000-0000CC000000}"/>
    <cellStyle name="Separador de milhares 2 3 3" xfId="201" xr:uid="{00000000-0005-0000-0000-0000CD000000}"/>
    <cellStyle name="Separador de milhares 2 4" xfId="202" xr:uid="{00000000-0005-0000-0000-0000CE000000}"/>
    <cellStyle name="Separador de milhares 3" xfId="203" xr:uid="{00000000-0005-0000-0000-0000CF000000}"/>
    <cellStyle name="Separador de milhares 3 2" xfId="204" xr:uid="{00000000-0005-0000-0000-0000D0000000}"/>
    <cellStyle name="Separador de milhares 3 2 2" xfId="205" xr:uid="{00000000-0005-0000-0000-0000D1000000}"/>
    <cellStyle name="Separador de milhares 3 2 2 2" xfId="206" xr:uid="{00000000-0005-0000-0000-0000D2000000}"/>
    <cellStyle name="Separador de milhares 3 2 3" xfId="207" xr:uid="{00000000-0005-0000-0000-0000D3000000}"/>
    <cellStyle name="Separador de milhares 3 2 4" xfId="360" xr:uid="{00000000-0005-0000-0000-0000D4000000}"/>
    <cellStyle name="Separador de milhares 3 3" xfId="208" xr:uid="{00000000-0005-0000-0000-0000D5000000}"/>
    <cellStyle name="Separador de milhares 3 3 2" xfId="209" xr:uid="{00000000-0005-0000-0000-0000D6000000}"/>
    <cellStyle name="Separador de milhares 3 4" xfId="210" xr:uid="{00000000-0005-0000-0000-0000D7000000}"/>
    <cellStyle name="Separador de milhares 4" xfId="211" xr:uid="{00000000-0005-0000-0000-0000D8000000}"/>
    <cellStyle name="Separador de milhares 8" xfId="212" xr:uid="{00000000-0005-0000-0000-0000D9000000}"/>
    <cellStyle name="Separador de milhares 8 2" xfId="213" xr:uid="{00000000-0005-0000-0000-0000DA000000}"/>
    <cellStyle name="Separador de milhares 8 2 2" xfId="214" xr:uid="{00000000-0005-0000-0000-0000DB000000}"/>
    <cellStyle name="Separador de milhares 8 3" xfId="215" xr:uid="{00000000-0005-0000-0000-0000DC000000}"/>
    <cellStyle name="Separador de milhares 9" xfId="216" xr:uid="{00000000-0005-0000-0000-0000DD000000}"/>
    <cellStyle name="Separador de milhares 9 2" xfId="217" xr:uid="{00000000-0005-0000-0000-0000DE000000}"/>
    <cellStyle name="Separador de milhares 9 2 2" xfId="218" xr:uid="{00000000-0005-0000-0000-0000DF000000}"/>
    <cellStyle name="Separador de milhares 9 3" xfId="219" xr:uid="{00000000-0005-0000-0000-0000E0000000}"/>
    <cellStyle name="Separador de milhares 9 4" xfId="220" xr:uid="{00000000-0005-0000-0000-0000E1000000}"/>
    <cellStyle name="Separador de milhares 9 5" xfId="221" xr:uid="{00000000-0005-0000-0000-0000E2000000}"/>
    <cellStyle name="Texto de Aviso" xfId="222" builtinId="11" customBuiltin="1"/>
    <cellStyle name="Texto de Aviso 2" xfId="223" xr:uid="{00000000-0005-0000-0000-0000E4000000}"/>
    <cellStyle name="Texto de Aviso 3" xfId="224" xr:uid="{00000000-0005-0000-0000-0000E5000000}"/>
    <cellStyle name="Texto Explicativo" xfId="225" builtinId="53" customBuiltin="1"/>
    <cellStyle name="Texto Explicativo 2" xfId="226" xr:uid="{00000000-0005-0000-0000-0000E7000000}"/>
    <cellStyle name="Texto Explicativo 3" xfId="227" xr:uid="{00000000-0005-0000-0000-0000E8000000}"/>
    <cellStyle name="Título" xfId="228" builtinId="15" customBuiltin="1"/>
    <cellStyle name="Título 1" xfId="229" builtinId="16" customBuiltin="1"/>
    <cellStyle name="Título 1 2" xfId="230" xr:uid="{00000000-0005-0000-0000-0000EB000000}"/>
    <cellStyle name="Título 1 3" xfId="231" xr:uid="{00000000-0005-0000-0000-0000EC000000}"/>
    <cellStyle name="Título 2" xfId="232" builtinId="17" customBuiltin="1"/>
    <cellStyle name="Título 2 2" xfId="233" xr:uid="{00000000-0005-0000-0000-0000EE000000}"/>
    <cellStyle name="Título 2 3" xfId="234" xr:uid="{00000000-0005-0000-0000-0000EF000000}"/>
    <cellStyle name="Título 3" xfId="235" builtinId="18" customBuiltin="1"/>
    <cellStyle name="Título 3 2" xfId="236" xr:uid="{00000000-0005-0000-0000-0000F1000000}"/>
    <cellStyle name="Título 3 3" xfId="237" xr:uid="{00000000-0005-0000-0000-0000F2000000}"/>
    <cellStyle name="Título 4" xfId="238" builtinId="19" customBuiltin="1"/>
    <cellStyle name="Título 4 2" xfId="239" xr:uid="{00000000-0005-0000-0000-0000F4000000}"/>
    <cellStyle name="Título 4 3" xfId="240" xr:uid="{00000000-0005-0000-0000-0000F5000000}"/>
    <cellStyle name="Título 5" xfId="241" xr:uid="{00000000-0005-0000-0000-0000F6000000}"/>
    <cellStyle name="Título 5 2" xfId="242" xr:uid="{00000000-0005-0000-0000-0000F7000000}"/>
    <cellStyle name="Título 5 3" xfId="243" xr:uid="{00000000-0005-0000-0000-0000F8000000}"/>
    <cellStyle name="Título 6" xfId="244" xr:uid="{00000000-0005-0000-0000-0000F9000000}"/>
    <cellStyle name="Título 7" xfId="245" xr:uid="{00000000-0005-0000-0000-0000FA000000}"/>
    <cellStyle name="Título 8" xfId="246" xr:uid="{00000000-0005-0000-0000-0000FB000000}"/>
    <cellStyle name="Total" xfId="247" builtinId="25" customBuiltin="1"/>
    <cellStyle name="Total 2" xfId="248" xr:uid="{00000000-0005-0000-0000-0000FD000000}"/>
    <cellStyle name="Total 3" xfId="249" xr:uid="{00000000-0005-0000-0000-0000FE000000}"/>
    <cellStyle name="Vírgula" xfId="250" builtinId="3"/>
    <cellStyle name="Vírgula 10" xfId="362" xr:uid="{00000000-0005-0000-0000-000000010000}"/>
    <cellStyle name="Vírgula 2" xfId="251" xr:uid="{00000000-0005-0000-0000-000001010000}"/>
    <cellStyle name="Vírgula 2 2" xfId="252" xr:uid="{00000000-0005-0000-0000-000002010000}"/>
    <cellStyle name="Vírgula 2 2 2" xfId="253" xr:uid="{00000000-0005-0000-0000-000003010000}"/>
    <cellStyle name="Vírgula 2 2 2 2" xfId="254" xr:uid="{00000000-0005-0000-0000-000004010000}"/>
    <cellStyle name="Vírgula 2 2 3" xfId="255" xr:uid="{00000000-0005-0000-0000-000005010000}"/>
    <cellStyle name="Vírgula 2 2 4" xfId="256" xr:uid="{00000000-0005-0000-0000-000006010000}"/>
    <cellStyle name="Vírgula 2 2 5" xfId="257" xr:uid="{00000000-0005-0000-0000-000007010000}"/>
    <cellStyle name="Vírgula 2 3" xfId="258" xr:uid="{00000000-0005-0000-0000-000008010000}"/>
    <cellStyle name="Vírgula 2 4" xfId="259" xr:uid="{00000000-0005-0000-0000-000009010000}"/>
    <cellStyle name="Vírgula 2 4 2" xfId="260" xr:uid="{00000000-0005-0000-0000-00000A010000}"/>
    <cellStyle name="Vírgula 2 4 2 2" xfId="261" xr:uid="{00000000-0005-0000-0000-00000B010000}"/>
    <cellStyle name="Vírgula 2 4 2 2 2" xfId="262" xr:uid="{00000000-0005-0000-0000-00000C010000}"/>
    <cellStyle name="Vírgula 2 4 2 3" xfId="263" xr:uid="{00000000-0005-0000-0000-00000D010000}"/>
    <cellStyle name="Vírgula 2 4 3" xfId="264" xr:uid="{00000000-0005-0000-0000-00000E010000}"/>
    <cellStyle name="Vírgula 2 4 3 2" xfId="265" xr:uid="{00000000-0005-0000-0000-00000F010000}"/>
    <cellStyle name="Vírgula 2 4 4" xfId="266" xr:uid="{00000000-0005-0000-0000-000010010000}"/>
    <cellStyle name="Vírgula 2 5" xfId="267" xr:uid="{00000000-0005-0000-0000-000011010000}"/>
    <cellStyle name="Vírgula 2 5 2" xfId="268" xr:uid="{00000000-0005-0000-0000-000012010000}"/>
    <cellStyle name="Vírgula 2 5 2 2" xfId="269" xr:uid="{00000000-0005-0000-0000-000013010000}"/>
    <cellStyle name="Vírgula 2 5 2 2 2" xfId="270" xr:uid="{00000000-0005-0000-0000-000014010000}"/>
    <cellStyle name="Vírgula 2 5 2 3" xfId="271" xr:uid="{00000000-0005-0000-0000-000015010000}"/>
    <cellStyle name="Vírgula 2 5 3" xfId="272" xr:uid="{00000000-0005-0000-0000-000016010000}"/>
    <cellStyle name="Vírgula 2 5 3 2" xfId="273" xr:uid="{00000000-0005-0000-0000-000017010000}"/>
    <cellStyle name="Vírgula 2 5 3 2 2" xfId="274" xr:uid="{00000000-0005-0000-0000-000018010000}"/>
    <cellStyle name="Vírgula 2 5 3 3" xfId="275" xr:uid="{00000000-0005-0000-0000-000019010000}"/>
    <cellStyle name="Vírgula 2 5 4" xfId="276" xr:uid="{00000000-0005-0000-0000-00001A010000}"/>
    <cellStyle name="Vírgula 2 5 4 2" xfId="277" xr:uid="{00000000-0005-0000-0000-00001B010000}"/>
    <cellStyle name="Vírgula 2 5 5" xfId="278" xr:uid="{00000000-0005-0000-0000-00001C010000}"/>
    <cellStyle name="Vírgula 3" xfId="279" xr:uid="{00000000-0005-0000-0000-00001D010000}"/>
    <cellStyle name="Vírgula 3 2" xfId="280" xr:uid="{00000000-0005-0000-0000-00001E010000}"/>
    <cellStyle name="Vírgula 3 2 2" xfId="281" xr:uid="{00000000-0005-0000-0000-00001F010000}"/>
    <cellStyle name="Vírgula 3 2 2 2" xfId="282" xr:uid="{00000000-0005-0000-0000-000020010000}"/>
    <cellStyle name="Vírgula 3 2 2 2 2" xfId="283" xr:uid="{00000000-0005-0000-0000-000021010000}"/>
    <cellStyle name="Vírgula 3 2 2 2 2 2" xfId="284" xr:uid="{00000000-0005-0000-0000-000022010000}"/>
    <cellStyle name="Vírgula 3 2 2 2 2 2 2" xfId="285" xr:uid="{00000000-0005-0000-0000-000023010000}"/>
    <cellStyle name="Vírgula 3 2 2 2 2 3" xfId="286" xr:uid="{00000000-0005-0000-0000-000024010000}"/>
    <cellStyle name="Vírgula 3 2 2 2 3" xfId="287" xr:uid="{00000000-0005-0000-0000-000025010000}"/>
    <cellStyle name="Vírgula 3 2 2 2 3 2" xfId="288" xr:uid="{00000000-0005-0000-0000-000026010000}"/>
    <cellStyle name="Vírgula 3 2 2 3" xfId="289" xr:uid="{00000000-0005-0000-0000-000027010000}"/>
    <cellStyle name="Vírgula 3 2 2 3 2" xfId="290" xr:uid="{00000000-0005-0000-0000-000028010000}"/>
    <cellStyle name="Vírgula 3 2 2 3 2 2" xfId="291" xr:uid="{00000000-0005-0000-0000-000029010000}"/>
    <cellStyle name="Vírgula 3 2 2 4" xfId="292" xr:uid="{00000000-0005-0000-0000-00002A010000}"/>
    <cellStyle name="Vírgula 3 2 2 4 2" xfId="293" xr:uid="{00000000-0005-0000-0000-00002B010000}"/>
    <cellStyle name="Vírgula 3 2 2 5" xfId="294" xr:uid="{00000000-0005-0000-0000-00002C010000}"/>
    <cellStyle name="Vírgula 3 2 3" xfId="295" xr:uid="{00000000-0005-0000-0000-00002D010000}"/>
    <cellStyle name="Vírgula 3 2 3 2" xfId="296" xr:uid="{00000000-0005-0000-0000-00002E010000}"/>
    <cellStyle name="Vírgula 3 2 3 2 2" xfId="297" xr:uid="{00000000-0005-0000-0000-00002F010000}"/>
    <cellStyle name="Vírgula 3 2 3 3" xfId="298" xr:uid="{00000000-0005-0000-0000-000030010000}"/>
    <cellStyle name="Vírgula 3 2 4" xfId="299" xr:uid="{00000000-0005-0000-0000-000031010000}"/>
    <cellStyle name="Vírgula 3 2 4 2" xfId="300" xr:uid="{00000000-0005-0000-0000-000032010000}"/>
    <cellStyle name="Vírgula 3 2 4 2 2" xfId="301" xr:uid="{00000000-0005-0000-0000-000033010000}"/>
    <cellStyle name="Vírgula 3 2 4 2 2 2" xfId="302" xr:uid="{00000000-0005-0000-0000-000034010000}"/>
    <cellStyle name="Vírgula 3 2 4 3" xfId="303" xr:uid="{00000000-0005-0000-0000-000035010000}"/>
    <cellStyle name="Vírgula 3 2 4 3 2" xfId="304" xr:uid="{00000000-0005-0000-0000-000036010000}"/>
    <cellStyle name="Vírgula 3 2 5" xfId="305" xr:uid="{00000000-0005-0000-0000-000037010000}"/>
    <cellStyle name="Vírgula 3 2 5 2" xfId="306" xr:uid="{00000000-0005-0000-0000-000038010000}"/>
    <cellStyle name="Vírgula 3 2 6" xfId="307" xr:uid="{00000000-0005-0000-0000-000039010000}"/>
    <cellStyle name="Vírgula 3 3" xfId="308" xr:uid="{00000000-0005-0000-0000-00003A010000}"/>
    <cellStyle name="Vírgula 3 3 2" xfId="309" xr:uid="{00000000-0005-0000-0000-00003B010000}"/>
    <cellStyle name="Vírgula 3 4" xfId="310" xr:uid="{00000000-0005-0000-0000-00003C010000}"/>
    <cellStyle name="Vírgula 4" xfId="311" xr:uid="{00000000-0005-0000-0000-00003D010000}"/>
    <cellStyle name="Vírgula 4 2" xfId="312" xr:uid="{00000000-0005-0000-0000-00003E010000}"/>
    <cellStyle name="Vírgula 4 2 2" xfId="313" xr:uid="{00000000-0005-0000-0000-00003F010000}"/>
    <cellStyle name="Vírgula 4 2 2 2" xfId="314" xr:uid="{00000000-0005-0000-0000-000040010000}"/>
    <cellStyle name="Vírgula 4 2 2 3" xfId="315" xr:uid="{00000000-0005-0000-0000-000041010000}"/>
    <cellStyle name="Vírgula 4 2 3" xfId="316" xr:uid="{00000000-0005-0000-0000-000042010000}"/>
    <cellStyle name="Vírgula 4 3" xfId="317" xr:uid="{00000000-0005-0000-0000-000043010000}"/>
    <cellStyle name="Vírgula 4 3 2" xfId="318" xr:uid="{00000000-0005-0000-0000-000044010000}"/>
    <cellStyle name="Vírgula 4 4" xfId="319" xr:uid="{00000000-0005-0000-0000-000045010000}"/>
    <cellStyle name="Vírgula 5" xfId="320" xr:uid="{00000000-0005-0000-0000-000046010000}"/>
    <cellStyle name="Vírgula 5 2" xfId="321" xr:uid="{00000000-0005-0000-0000-000047010000}"/>
    <cellStyle name="Vírgula 5 2 2" xfId="322" xr:uid="{00000000-0005-0000-0000-000048010000}"/>
    <cellStyle name="Vírgula 5 3" xfId="323" xr:uid="{00000000-0005-0000-0000-000049010000}"/>
    <cellStyle name="Vírgula 6" xfId="324" xr:uid="{00000000-0005-0000-0000-00004A010000}"/>
    <cellStyle name="Vírgula 6 2" xfId="325" xr:uid="{00000000-0005-0000-0000-00004B010000}"/>
    <cellStyle name="Vírgula 6 2 2" xfId="326" xr:uid="{00000000-0005-0000-0000-00004C010000}"/>
    <cellStyle name="Vírgula 6 2 2 2" xfId="327" xr:uid="{00000000-0005-0000-0000-00004D010000}"/>
    <cellStyle name="Vírgula 6 2 2 2 2" xfId="328" xr:uid="{00000000-0005-0000-0000-00004E010000}"/>
    <cellStyle name="Vírgula 6 2 2 3" xfId="329" xr:uid="{00000000-0005-0000-0000-00004F010000}"/>
    <cellStyle name="Vírgula 6 2 3" xfId="330" xr:uid="{00000000-0005-0000-0000-000050010000}"/>
    <cellStyle name="Vírgula 6 2 3 2" xfId="331" xr:uid="{00000000-0005-0000-0000-000051010000}"/>
    <cellStyle name="Vírgula 6 2 4" xfId="332" xr:uid="{00000000-0005-0000-0000-000052010000}"/>
    <cellStyle name="Vírgula 6 3" xfId="333" xr:uid="{00000000-0005-0000-0000-000053010000}"/>
    <cellStyle name="Vírgula 6 3 2" xfId="334" xr:uid="{00000000-0005-0000-0000-000054010000}"/>
    <cellStyle name="Vírgula 6 3 2 2" xfId="335" xr:uid="{00000000-0005-0000-0000-000055010000}"/>
    <cellStyle name="Vírgula 6 3 3" xfId="336" xr:uid="{00000000-0005-0000-0000-000056010000}"/>
    <cellStyle name="Vírgula 6 4" xfId="337" xr:uid="{00000000-0005-0000-0000-000057010000}"/>
    <cellStyle name="Vírgula 6 4 2" xfId="338" xr:uid="{00000000-0005-0000-0000-000058010000}"/>
    <cellStyle name="Vírgula 6 5" xfId="339" xr:uid="{00000000-0005-0000-0000-000059010000}"/>
    <cellStyle name="Vírgula 6 6" xfId="340" xr:uid="{00000000-0005-0000-0000-00005A010000}"/>
    <cellStyle name="Vírgula 6 7" xfId="341" xr:uid="{00000000-0005-0000-0000-00005B010000}"/>
    <cellStyle name="Vírgula 7" xfId="342" xr:uid="{00000000-0005-0000-0000-00005C010000}"/>
    <cellStyle name="Vírgula 7 2" xfId="343" xr:uid="{00000000-0005-0000-0000-00005D010000}"/>
    <cellStyle name="Vírgula 7 2 2" xfId="344" xr:uid="{00000000-0005-0000-0000-00005E010000}"/>
    <cellStyle name="Vírgula 7 2 2 2" xfId="345" xr:uid="{00000000-0005-0000-0000-00005F010000}"/>
    <cellStyle name="Vírgula 7 2 3" xfId="346" xr:uid="{00000000-0005-0000-0000-000060010000}"/>
    <cellStyle name="Vírgula 7 3" xfId="347" xr:uid="{00000000-0005-0000-0000-000061010000}"/>
    <cellStyle name="Vírgula 7 3 2" xfId="348" xr:uid="{00000000-0005-0000-0000-000062010000}"/>
    <cellStyle name="Vírgula 7 3 2 2" xfId="349" xr:uid="{00000000-0005-0000-0000-000063010000}"/>
    <cellStyle name="Vírgula 7 3 3" xfId="350" xr:uid="{00000000-0005-0000-0000-000064010000}"/>
    <cellStyle name="Vírgula 7 4" xfId="351" xr:uid="{00000000-0005-0000-0000-000065010000}"/>
    <cellStyle name="Vírgula 7 4 2" xfId="352" xr:uid="{00000000-0005-0000-0000-000066010000}"/>
    <cellStyle name="Vírgula 7 5" xfId="353" xr:uid="{00000000-0005-0000-0000-000067010000}"/>
    <cellStyle name="Vírgula 8" xfId="354" xr:uid="{00000000-0005-0000-0000-000068010000}"/>
    <cellStyle name="Vírgula 8 2" xfId="355" xr:uid="{00000000-0005-0000-0000-000069010000}"/>
    <cellStyle name="Vírgula 8 3" xfId="356" xr:uid="{00000000-0005-0000-0000-00006A010000}"/>
    <cellStyle name="Vírgula 9" xfId="357" xr:uid="{00000000-0005-0000-0000-00006B010000}"/>
  </cellStyles>
  <dxfs count="77">
    <dxf>
      <font>
        <b/>
        <i val="0"/>
        <condense val="0"/>
        <extend val="0"/>
        <color indexed="10"/>
      </font>
    </dxf>
    <dxf>
      <fill>
        <patternFill>
          <bgColor indexed="13"/>
        </patternFill>
      </fill>
    </dxf>
    <dxf>
      <fill>
        <patternFill>
          <bgColor indexed="11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eetMetadata" Target="metadata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HISTOGRAMA DA DISPONIBILIZAÇÃO DE RECURSOS</a:t>
            </a:r>
          </a:p>
        </c:rich>
      </c:tx>
      <c:layout>
        <c:manualLayout>
          <c:xMode val="edge"/>
          <c:yMode val="edge"/>
          <c:x val="0.36875009911135237"/>
          <c:y val="3.03030820334450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62000547790929E-3"/>
          <c:y val="0.15293466034137038"/>
          <c:w val="0.98743748807322806"/>
          <c:h val="0.7117341800806368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90"/>
              </a:solidFill>
              <a:prstDash val="solid"/>
            </a:ln>
          </c:spPr>
          <c:marker>
            <c:symbol val="none"/>
          </c:marker>
          <c:dLbls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800" b="1" i="1" u="none" strike="noStrike" baseline="0">
                    <a:solidFill>
                      <a:srgbClr val="000000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CRONOGRAMA!$Q$11:$Q$15</c:f>
              <c:numCache>
                <c:formatCode>General</c:formatCode>
                <c:ptCount val="5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C3E-4B29-89A1-297A432E3EDF}"/>
            </c:ext>
          </c:extLst>
        </c:ser>
        <c:ser>
          <c:idx val="1"/>
          <c:order val="1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numFmt formatCode="\R\$\ #,##0.00" sourceLinked="0"/>
            <c:spPr>
              <a:noFill/>
              <a:ln w="12700">
                <a:solidFill>
                  <a:srgbClr val="C0C0C0"/>
                </a:solidFill>
                <a:prstDash val="solid"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0" b="1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CRONOGRAMA!$R$11:$R$15</c:f>
              <c:numCache>
                <c:formatCode>_(* #,##0.00_);_(* \(#,##0.00\);_(* "-"??_);_(@_)</c:formatCode>
                <c:ptCount val="5"/>
                <c:pt idx="0">
                  <c:v>240360.77023194774</c:v>
                </c:pt>
                <c:pt idx="1">
                  <c:v>153532.86933044792</c:v>
                </c:pt>
                <c:pt idx="2">
                  <c:v>177081.0713082483</c:v>
                </c:pt>
                <c:pt idx="3">
                  <c:v>105374.84686427588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C3E-4B29-89A1-297A432E3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3175">
              <a:solidFill>
                <a:srgbClr val="000000"/>
              </a:solidFill>
              <a:prstDash val="solid"/>
            </a:ln>
          </c:spPr>
        </c:dropLine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gradFill rotWithShape="0">
                <a:gsLst>
                  <a:gs pos="0">
                    <a:srgbClr val="FFFFFF"/>
                  </a:gs>
                  <a:gs pos="100000">
                    <a:srgbClr val="000000"/>
                  </a:gs>
                </a:gsLst>
                <a:path path="rect">
                  <a:fillToRect r="100000" b="100000"/>
                </a:path>
              </a:gradFill>
              <a:ln w="3175">
                <a:solidFill>
                  <a:srgbClr val="C0C0C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smooth val="0"/>
        <c:axId val="90480024"/>
        <c:axId val="90478456"/>
      </c:lineChart>
      <c:catAx>
        <c:axId val="90480024"/>
        <c:scaling>
          <c:orientation val="minMax"/>
        </c:scaling>
        <c:delete val="1"/>
        <c:axPos val="b"/>
        <c:majorTickMark val="out"/>
        <c:minorTickMark val="none"/>
        <c:tickLblPos val="nextTo"/>
        <c:crossAx val="90478456"/>
        <c:crossesAt val="0"/>
        <c:auto val="0"/>
        <c:lblAlgn val="ctr"/>
        <c:lblOffset val="100"/>
        <c:noMultiLvlLbl val="0"/>
      </c:catAx>
      <c:valAx>
        <c:axId val="90478456"/>
        <c:scaling>
          <c:orientation val="minMax"/>
          <c:max val="500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90480024"/>
        <c:crosses val="autoZero"/>
        <c:crossBetween val="between"/>
        <c:majorUnit val="100000"/>
        <c:minorUnit val="20000"/>
      </c:valAx>
      <c:spPr>
        <a:solidFill>
          <a:srgbClr val="FFFFFF"/>
        </a:solidFill>
        <a:ln w="25400">
          <a:solidFill>
            <a:srgbClr val="666699"/>
          </a:solidFill>
          <a:prstDash val="solid"/>
        </a:ln>
        <a:effectLst>
          <a:outerShdw dist="35921" dir="2700000" algn="br">
            <a:srgbClr val="000000"/>
          </a:outerShdw>
        </a:effectLst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PERCENTUAIS DOS SERVIÇOS</a:t>
            </a:r>
          </a:p>
        </c:rich>
      </c:tx>
      <c:layout>
        <c:manualLayout>
          <c:xMode val="edge"/>
          <c:yMode val="edge"/>
          <c:x val="0.42297193620028262"/>
          <c:y val="2.75974996796286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518098945522623E-3"/>
          <c:y val="0.13452617400303424"/>
          <c:w val="0.9836528623848142"/>
          <c:h val="0.7569123284267107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38100">
              <a:solidFill>
                <a:srgbClr val="000000"/>
              </a:solidFill>
              <a:prstDash val="lgDash"/>
            </a:ln>
          </c:spPr>
          <c:invertIfNegative val="0"/>
          <c:dLbls>
            <c:spPr>
              <a:gradFill rotWithShape="0">
                <a:gsLst>
                  <a:gs pos="0">
                    <a:srgbClr val="9AB5E4"/>
                  </a:gs>
                  <a:gs pos="50000">
                    <a:srgbClr val="C2D1ED"/>
                  </a:gs>
                  <a:gs pos="100000">
                    <a:srgbClr val="E1E8F5"/>
                  </a:gs>
                </a:gsLst>
                <a:lin ang="5400000"/>
              </a:gradFill>
              <a:ln w="25400">
                <a:solidFill>
                  <a:srgbClr val="99CCFF"/>
                </a:solidFill>
                <a:prstDash val="solid"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0" b="1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CRONOGRAMA!$B$11:$B$25</c:f>
              <c:strCache>
                <c:ptCount val="15"/>
                <c:pt idx="0">
                  <c:v>MOBILIZAÇÃO E SERVIÇOS PRELIMINARES</c:v>
                </c:pt>
                <c:pt idx="1">
                  <c:v>LOCAÇÕES</c:v>
                </c:pt>
                <c:pt idx="2">
                  <c:v>DEMOLIÇÕES</c:v>
                </c:pt>
                <c:pt idx="3">
                  <c:v>FECHAMENTOS</c:v>
                </c:pt>
                <c:pt idx="4">
                  <c:v>PAVIMENTAÇÃO</c:v>
                </c:pt>
                <c:pt idx="5">
                  <c:v>MOBILIÁRIO </c:v>
                </c:pt>
                <c:pt idx="6">
                  <c:v>PINTURA</c:v>
                </c:pt>
                <c:pt idx="7">
                  <c:v>ESQUADRIAS</c:v>
                </c:pt>
                <c:pt idx="8">
                  <c:v>LOUÇAS E METAIS</c:v>
                </c:pt>
                <c:pt idx="9">
                  <c:v>INSTALAÇÕES ELÉTRICAS</c:v>
                </c:pt>
                <c:pt idx="10">
                  <c:v>BANCADAS</c:v>
                </c:pt>
                <c:pt idx="11">
                  <c:v>COMUNICAÇÃO VISUAL E SINALIZAÇÃO </c:v>
                </c:pt>
                <c:pt idx="12">
                  <c:v>CLIMATIZAÇÃO</c:v>
                </c:pt>
                <c:pt idx="13">
                  <c:v>CABEAMENTO ESTRUTURADO</c:v>
                </c:pt>
                <c:pt idx="14">
                  <c:v>SERVIÇOS FINAIS E DESMOBILIZAÇÃO</c:v>
                </c:pt>
              </c:strCache>
            </c:strRef>
          </c:cat>
          <c:val>
            <c:numRef>
              <c:f>CRONOGRAMA!$D$11:$D$25</c:f>
              <c:numCache>
                <c:formatCode>0.00%</c:formatCode>
                <c:ptCount val="15"/>
                <c:pt idx="0">
                  <c:v>3.8362097236957207E-3</c:v>
                </c:pt>
                <c:pt idx="1">
                  <c:v>1.2998711464295359E-2</c:v>
                </c:pt>
                <c:pt idx="2">
                  <c:v>6.9213772244709889E-3</c:v>
                </c:pt>
                <c:pt idx="3">
                  <c:v>8.5505689362713577E-2</c:v>
                </c:pt>
                <c:pt idx="4">
                  <c:v>7.8620001879029247E-2</c:v>
                </c:pt>
                <c:pt idx="5">
                  <c:v>0.13636365832613923</c:v>
                </c:pt>
                <c:pt idx="6">
                  <c:v>7.5985143395543062E-2</c:v>
                </c:pt>
                <c:pt idx="7">
                  <c:v>0.18608894031153486</c:v>
                </c:pt>
                <c:pt idx="8">
                  <c:v>2.4140672712466251E-2</c:v>
                </c:pt>
                <c:pt idx="9">
                  <c:v>0.12731897364990177</c:v>
                </c:pt>
                <c:pt idx="10">
                  <c:v>2.8570274466821503E-3</c:v>
                </c:pt>
                <c:pt idx="11">
                  <c:v>1.1739819807957932E-2</c:v>
                </c:pt>
                <c:pt idx="12">
                  <c:v>9.5606489477950363E-2</c:v>
                </c:pt>
                <c:pt idx="13">
                  <c:v>1.1324543518075176E-2</c:v>
                </c:pt>
                <c:pt idx="14">
                  <c:v>3.5879725169438198E-3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9B-4AB1-BF61-9CFE76CBB9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50"/>
        <c:axId val="90478064"/>
        <c:axId val="90477280"/>
      </c:barChart>
      <c:catAx>
        <c:axId val="90478064"/>
        <c:scaling>
          <c:orientation val="minMax"/>
        </c:scaling>
        <c:delete val="0"/>
        <c:axPos val="b"/>
        <c:numFmt formatCode="0.0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pt-BR"/>
          </a:p>
        </c:txPr>
        <c:crossAx val="90477280"/>
        <c:crosses val="autoZero"/>
        <c:auto val="1"/>
        <c:lblAlgn val="ctr"/>
        <c:lblOffset val="100"/>
        <c:noMultiLvlLbl val="0"/>
      </c:catAx>
      <c:valAx>
        <c:axId val="90477280"/>
        <c:scaling>
          <c:orientation val="minMax"/>
        </c:scaling>
        <c:delete val="1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.00%" sourceLinked="1"/>
        <c:majorTickMark val="out"/>
        <c:minorTickMark val="none"/>
        <c:tickLblPos val="nextTo"/>
        <c:crossAx val="90478064"/>
        <c:crossesAt val="1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9" l="0.78740157499999996" r="0.78740157499999996" t="0.984251969" header="0.49212598499999999" footer="0.49212598499999999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CURVA S
</a:t>
            </a:r>
          </a:p>
        </c:rich>
      </c:tx>
      <c:layout>
        <c:manualLayout>
          <c:xMode val="edge"/>
          <c:yMode val="edge"/>
          <c:x val="0.42297189699681864"/>
          <c:y val="2.75973909566032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518098945522623E-3"/>
          <c:y val="0.13452617400303424"/>
          <c:w val="0.9836528623848142"/>
          <c:h val="0.75691232842671075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lgDash"/>
            </a:ln>
          </c:spPr>
          <c:marker>
            <c:symbol val="none"/>
          </c:marker>
          <c:dLbls>
            <c:spPr>
              <a:gradFill rotWithShape="0">
                <a:gsLst>
                  <a:gs pos="0">
                    <a:srgbClr val="9AB5E4"/>
                  </a:gs>
                  <a:gs pos="50000">
                    <a:srgbClr val="C2D1ED"/>
                  </a:gs>
                  <a:gs pos="100000">
                    <a:srgbClr val="E1E8F5"/>
                  </a:gs>
                </a:gsLst>
                <a:lin ang="5400000"/>
              </a:gradFill>
              <a:ln w="25400">
                <a:solidFill>
                  <a:srgbClr val="99CCFF"/>
                </a:solidFill>
                <a:prstDash val="solid"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0" b="1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CRONOGRAMA!$S$11:$S$14</c:f>
              <c:numCache>
                <c:formatCode>0.00%</c:formatCode>
                <c:ptCount val="4"/>
                <c:pt idx="0">
                  <c:v>0.35537950381295563</c:v>
                </c:pt>
                <c:pt idx="1">
                  <c:v>0.58238175076440812</c:v>
                </c:pt>
                <c:pt idx="2">
                  <c:v>0.8442006124507957</c:v>
                </c:pt>
                <c:pt idx="3">
                  <c:v>1.0000000000000002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8A-4128-B08E-7851CC579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476888"/>
        <c:axId val="165142648"/>
      </c:lineChart>
      <c:catAx>
        <c:axId val="90476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400" b="1" i="1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pt-BR"/>
          </a:p>
        </c:txPr>
        <c:crossAx val="165142648"/>
        <c:crosses val="autoZero"/>
        <c:auto val="1"/>
        <c:lblAlgn val="ctr"/>
        <c:lblOffset val="100"/>
        <c:noMultiLvlLbl val="0"/>
      </c:catAx>
      <c:valAx>
        <c:axId val="165142648"/>
        <c:scaling>
          <c:orientation val="minMax"/>
        </c:scaling>
        <c:delete val="1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.00%" sourceLinked="1"/>
        <c:majorTickMark val="out"/>
        <c:minorTickMark val="none"/>
        <c:tickLblPos val="nextTo"/>
        <c:crossAx val="90476888"/>
        <c:crossesAt val="1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9" l="0.78740157499999996" r="0.78740157499999996" t="0.984251969" header="0.49212598499999999" footer="0.49212598499999999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257175</xdr:colOff>
      <xdr:row>0</xdr:row>
      <xdr:rowOff>161925</xdr:rowOff>
    </xdr:from>
    <xdr:to>
      <xdr:col>7</xdr:col>
      <xdr:colOff>952500</xdr:colOff>
      <xdr:row>5</xdr:row>
      <xdr:rowOff>19050</xdr:rowOff>
    </xdr:to>
    <xdr:pic>
      <xdr:nvPicPr>
        <xdr:cNvPr id="23540587" name="Picture 1">
          <a:extLst>
            <a:ext uri="{FF2B5EF4-FFF2-40B4-BE49-F238E27FC236}">
              <a16:creationId xmlns:a16="http://schemas.microsoft.com/office/drawing/2014/main" id="{74986D10-3C62-40D5-8DAF-62E8DA7A3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96725" y="161925"/>
          <a:ext cx="69532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608357</xdr:colOff>
      <xdr:row>0</xdr:row>
      <xdr:rowOff>43965</xdr:rowOff>
    </xdr:from>
    <xdr:to>
      <xdr:col>7</xdr:col>
      <xdr:colOff>372717</xdr:colOff>
      <xdr:row>4</xdr:row>
      <xdr:rowOff>183044</xdr:rowOff>
    </xdr:to>
    <xdr:pic>
      <xdr:nvPicPr>
        <xdr:cNvPr id="26216454" name="Picture 1">
          <a:extLst>
            <a:ext uri="{FF2B5EF4-FFF2-40B4-BE49-F238E27FC236}">
              <a16:creationId xmlns:a16="http://schemas.microsoft.com/office/drawing/2014/main" id="{F34527E3-EE5A-4515-8CD8-2792588FFC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95357" y="43965"/>
          <a:ext cx="675447" cy="10584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35</xdr:row>
      <xdr:rowOff>133350</xdr:rowOff>
    </xdr:from>
    <xdr:to>
      <xdr:col>13</xdr:col>
      <xdr:colOff>1028700</xdr:colOff>
      <xdr:row>56</xdr:row>
      <xdr:rowOff>85725</xdr:rowOff>
    </xdr:to>
    <xdr:graphicFrame macro="">
      <xdr:nvGraphicFramePr>
        <xdr:cNvPr id="25905580" name="Chart 7">
          <a:extLst>
            <a:ext uri="{FF2B5EF4-FFF2-40B4-BE49-F238E27FC236}">
              <a16:creationId xmlns:a16="http://schemas.microsoft.com/office/drawing/2014/main" id="{9D7EC50C-2E91-4164-B1C2-499BAA41C3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69</xdr:row>
      <xdr:rowOff>57150</xdr:rowOff>
    </xdr:from>
    <xdr:to>
      <xdr:col>13</xdr:col>
      <xdr:colOff>1257300</xdr:colOff>
      <xdr:row>100</xdr:row>
      <xdr:rowOff>114300</xdr:rowOff>
    </xdr:to>
    <xdr:graphicFrame macro="">
      <xdr:nvGraphicFramePr>
        <xdr:cNvPr id="25905581" name="Gráfico 4">
          <a:extLst>
            <a:ext uri="{FF2B5EF4-FFF2-40B4-BE49-F238E27FC236}">
              <a16:creationId xmlns:a16="http://schemas.microsoft.com/office/drawing/2014/main" id="{D4D2B028-A59F-4796-B99D-2A787AE9FF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142875</xdr:colOff>
      <xdr:row>114</xdr:row>
      <xdr:rowOff>76200</xdr:rowOff>
    </xdr:from>
    <xdr:to>
      <xdr:col>13</xdr:col>
      <xdr:colOff>1181100</xdr:colOff>
      <xdr:row>146</xdr:row>
      <xdr:rowOff>133350</xdr:rowOff>
    </xdr:to>
    <xdr:graphicFrame macro="">
      <xdr:nvGraphicFramePr>
        <xdr:cNvPr id="25905582" name="Gráfico 4">
          <a:extLst>
            <a:ext uri="{FF2B5EF4-FFF2-40B4-BE49-F238E27FC236}">
              <a16:creationId xmlns:a16="http://schemas.microsoft.com/office/drawing/2014/main" id="{BFE860BE-A731-4875-AFEF-BAEF939992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699827</xdr:colOff>
      <xdr:row>0</xdr:row>
      <xdr:rowOff>105184</xdr:rowOff>
    </xdr:from>
    <xdr:to>
      <xdr:col>13</xdr:col>
      <xdr:colOff>836084</xdr:colOff>
      <xdr:row>4</xdr:row>
      <xdr:rowOff>370416</xdr:rowOff>
    </xdr:to>
    <xdr:pic>
      <xdr:nvPicPr>
        <xdr:cNvPr id="25905583" name="Picture 1">
          <a:extLst>
            <a:ext uri="{FF2B5EF4-FFF2-40B4-BE49-F238E27FC236}">
              <a16:creationId xmlns:a16="http://schemas.microsoft.com/office/drawing/2014/main" id="{2F893D75-DB01-472F-ACB7-B4F06EA95E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45660" y="105184"/>
          <a:ext cx="951174" cy="1524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190500</xdr:rowOff>
    </xdr:from>
    <xdr:to>
      <xdr:col>12</xdr:col>
      <xdr:colOff>742950</xdr:colOff>
      <xdr:row>5</xdr:row>
      <xdr:rowOff>0</xdr:rowOff>
    </xdr:to>
    <xdr:pic>
      <xdr:nvPicPr>
        <xdr:cNvPr id="23545707" name="Picture 1">
          <a:extLst>
            <a:ext uri="{FF2B5EF4-FFF2-40B4-BE49-F238E27FC236}">
              <a16:creationId xmlns:a16="http://schemas.microsoft.com/office/drawing/2014/main" id="{55EE351A-3C3A-449C-903D-8BA1C1B733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4575" y="190500"/>
          <a:ext cx="60960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371475</xdr:colOff>
      <xdr:row>0</xdr:row>
      <xdr:rowOff>228600</xdr:rowOff>
    </xdr:from>
    <xdr:to>
      <xdr:col>7</xdr:col>
      <xdr:colOff>333375</xdr:colOff>
      <xdr:row>4</xdr:row>
      <xdr:rowOff>238125</xdr:rowOff>
    </xdr:to>
    <xdr:pic>
      <xdr:nvPicPr>
        <xdr:cNvPr id="23546731" name="Picture 1">
          <a:extLst>
            <a:ext uri="{FF2B5EF4-FFF2-40B4-BE49-F238E27FC236}">
              <a16:creationId xmlns:a16="http://schemas.microsoft.com/office/drawing/2014/main" id="{158EE39E-EC3C-43B9-A9DD-405884BBDD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228600"/>
          <a:ext cx="657225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  <sheetName val="1ª Medição 6º Aditiv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serviço"/>
      <sheetName val="QUANTITATIVO"/>
      <sheetName val="COMPOSIÇÕES "/>
      <sheetName val="SERVIÇOS"/>
      <sheetName val="Plan1"/>
      <sheetName val="Auxiliar"/>
      <sheetName val="Receita"/>
      <sheetName val="EAP PPER-1"/>
    </sheetNames>
    <sheetDataSet>
      <sheetData sheetId="0"/>
      <sheetData sheetId="1"/>
      <sheetData sheetId="2"/>
      <sheetData sheetId="3" refreshError="1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9"/>
  <sheetViews>
    <sheetView showZeros="0" view="pageBreakPreview" zoomScale="75" zoomScaleNormal="75" zoomScaleSheetLayoutView="75" zoomScalePageLayoutView="60" workbookViewId="0">
      <selection activeCell="A6" sqref="A6:D6"/>
    </sheetView>
  </sheetViews>
  <sheetFormatPr defaultColWidth="15.7109375" defaultRowHeight="12.75" x14ac:dyDescent="0.2"/>
  <cols>
    <col min="1" max="1" width="6.5703125" style="7" customWidth="1"/>
    <col min="2" max="2" width="15" style="7" customWidth="1"/>
    <col min="3" max="3" width="14.5703125" style="7" customWidth="1"/>
    <col min="4" max="4" width="102.140625" style="8" customWidth="1"/>
    <col min="5" max="5" width="11.5703125" style="9" customWidth="1"/>
    <col min="6" max="6" width="15.28515625" style="9" customWidth="1"/>
    <col min="7" max="7" width="14.28515625" style="4" customWidth="1"/>
    <col min="8" max="8" width="18.140625" style="4" customWidth="1"/>
    <col min="9" max="9" width="7.85546875" style="10" customWidth="1"/>
    <col min="10" max="10" width="83.42578125" style="6" customWidth="1"/>
    <col min="11" max="16384" width="15.7109375" style="6"/>
  </cols>
  <sheetData>
    <row r="1" spans="1:13" s="10" customFormat="1" ht="25.5" x14ac:dyDescent="0.25">
      <c r="A1" s="660" t="s">
        <v>12</v>
      </c>
      <c r="B1" s="661"/>
      <c r="C1" s="661"/>
      <c r="D1" s="661"/>
      <c r="E1" s="661"/>
      <c r="F1" s="117"/>
      <c r="G1" s="12"/>
      <c r="H1" s="602"/>
    </row>
    <row r="2" spans="1:13" s="10" customFormat="1" ht="15.75" customHeight="1" x14ac:dyDescent="0.25">
      <c r="A2" s="676" t="s">
        <v>140</v>
      </c>
      <c r="B2" s="677"/>
      <c r="C2" s="677"/>
      <c r="D2" s="677"/>
      <c r="E2" s="677"/>
      <c r="F2" s="118"/>
      <c r="G2" s="11"/>
      <c r="H2" s="603"/>
    </row>
    <row r="3" spans="1:13" s="10" customFormat="1" ht="15.75" customHeight="1" x14ac:dyDescent="0.25">
      <c r="A3" s="662" t="s">
        <v>328</v>
      </c>
      <c r="B3" s="663"/>
      <c r="C3" s="663"/>
      <c r="D3" s="663"/>
      <c r="E3" s="663"/>
      <c r="F3" s="119"/>
      <c r="G3" s="5"/>
      <c r="H3" s="603"/>
    </row>
    <row r="4" spans="1:13" s="10" customFormat="1" ht="15.75" x14ac:dyDescent="0.25">
      <c r="A4" s="51" t="s">
        <v>6</v>
      </c>
      <c r="B4" s="52"/>
      <c r="C4" s="52"/>
      <c r="D4" s="1"/>
      <c r="E4" s="2" t="s">
        <v>8</v>
      </c>
      <c r="F4" s="120"/>
      <c r="G4" s="5" t="s">
        <v>143</v>
      </c>
      <c r="H4" s="603"/>
    </row>
    <row r="5" spans="1:13" s="10" customFormat="1" ht="22.5" customHeight="1" x14ac:dyDescent="0.25">
      <c r="A5" s="670" t="s">
        <v>330</v>
      </c>
      <c r="B5" s="671"/>
      <c r="C5" s="671"/>
      <c r="D5" s="671"/>
      <c r="E5" s="673" t="s">
        <v>519</v>
      </c>
      <c r="F5" s="673"/>
      <c r="G5" s="619">
        <f ca="1">NOW()</f>
        <v>45902.492755092593</v>
      </c>
      <c r="H5" s="603"/>
    </row>
    <row r="6" spans="1:13" s="10" customFormat="1" ht="15.75" customHeight="1" x14ac:dyDescent="0.25">
      <c r="A6" s="674" t="s">
        <v>7</v>
      </c>
      <c r="B6" s="675"/>
      <c r="C6" s="675"/>
      <c r="D6" s="675"/>
      <c r="E6" s="672" t="s">
        <v>176</v>
      </c>
      <c r="F6" s="672"/>
      <c r="G6" s="5"/>
      <c r="H6" s="603"/>
    </row>
    <row r="7" spans="1:13" ht="16.5" customHeight="1" thickBot="1" x14ac:dyDescent="0.3">
      <c r="A7" s="664" t="s">
        <v>152</v>
      </c>
      <c r="B7" s="665"/>
      <c r="C7" s="665"/>
      <c r="D7" s="665"/>
      <c r="E7" s="666">
        <f>F37</f>
        <v>274.14999999999998</v>
      </c>
      <c r="F7" s="666"/>
      <c r="G7" s="3"/>
      <c r="H7" s="604"/>
    </row>
    <row r="8" spans="1:13" s="10" customFormat="1" ht="16.5" customHeight="1" thickBot="1" x14ac:dyDescent="0.25">
      <c r="A8" s="667" t="s">
        <v>714</v>
      </c>
      <c r="B8" s="668"/>
      <c r="C8" s="668"/>
      <c r="D8" s="668"/>
      <c r="E8" s="668"/>
      <c r="F8" s="668"/>
      <c r="G8" s="668"/>
      <c r="H8" s="669"/>
    </row>
    <row r="9" spans="1:13" s="164" customFormat="1" ht="27" customHeight="1" thickBot="1" x14ac:dyDescent="0.25">
      <c r="A9" s="160" t="s">
        <v>20</v>
      </c>
      <c r="B9" s="161" t="s">
        <v>28</v>
      </c>
      <c r="C9" s="161" t="s">
        <v>11</v>
      </c>
      <c r="D9" s="162" t="s">
        <v>3</v>
      </c>
      <c r="E9" s="163" t="s">
        <v>2</v>
      </c>
      <c r="F9" s="590" t="s">
        <v>139</v>
      </c>
      <c r="G9" s="162" t="s">
        <v>4</v>
      </c>
      <c r="H9" s="605" t="s">
        <v>5</v>
      </c>
      <c r="I9" s="394" t="s">
        <v>0</v>
      </c>
    </row>
    <row r="10" spans="1:13" s="140" customFormat="1" ht="18.75" thickBot="1" x14ac:dyDescent="0.3">
      <c r="A10" s="411">
        <v>1</v>
      </c>
      <c r="B10" s="424"/>
      <c r="C10" s="424"/>
      <c r="D10" s="413" t="s">
        <v>196</v>
      </c>
      <c r="E10" s="418"/>
      <c r="F10" s="425"/>
      <c r="G10" s="426"/>
      <c r="H10" s="606">
        <f>SUM(H11:H12)</f>
        <v>2075.6950000000002</v>
      </c>
      <c r="I10" s="139">
        <f t="shared" ref="I10:I41" si="0">H10/$H$222</f>
        <v>3.0689677789565765E-3</v>
      </c>
      <c r="M10" s="141"/>
    </row>
    <row r="11" spans="1:13" s="140" customFormat="1" ht="36" x14ac:dyDescent="0.25">
      <c r="A11" s="561" t="s">
        <v>166</v>
      </c>
      <c r="B11" s="556">
        <v>103689</v>
      </c>
      <c r="C11" s="557" t="s">
        <v>303</v>
      </c>
      <c r="D11" s="558" t="s">
        <v>408</v>
      </c>
      <c r="E11" s="559" t="s">
        <v>1</v>
      </c>
      <c r="F11" s="560">
        <f>1.5*3</f>
        <v>4.5</v>
      </c>
      <c r="G11" s="560">
        <v>446.55</v>
      </c>
      <c r="H11" s="607">
        <f t="shared" ref="H11" si="1">G11*F11</f>
        <v>2009.4750000000001</v>
      </c>
      <c r="I11" s="17">
        <f t="shared" si="0"/>
        <v>2.9710598270067455E-3</v>
      </c>
      <c r="J11" s="147"/>
      <c r="K11" s="147"/>
      <c r="M11" s="141"/>
    </row>
    <row r="12" spans="1:13" s="154" customFormat="1" ht="18.75" thickBot="1" x14ac:dyDescent="0.3">
      <c r="A12" s="563" t="s">
        <v>559</v>
      </c>
      <c r="B12" s="554" t="s">
        <v>376</v>
      </c>
      <c r="C12" s="555" t="s">
        <v>304</v>
      </c>
      <c r="D12" s="420" t="s">
        <v>377</v>
      </c>
      <c r="E12" s="398" t="s">
        <v>153</v>
      </c>
      <c r="F12" s="421">
        <v>14</v>
      </c>
      <c r="G12" s="421">
        <v>4.7300000000000004</v>
      </c>
      <c r="H12" s="614">
        <f>G12*F12</f>
        <v>66.22</v>
      </c>
      <c r="I12" s="17">
        <f t="shared" si="0"/>
        <v>9.7907951949831011E-5</v>
      </c>
      <c r="J12" s="146"/>
      <c r="K12" s="146"/>
      <c r="M12" s="155"/>
    </row>
    <row r="13" spans="1:13" s="140" customFormat="1" ht="18.75" thickBot="1" x14ac:dyDescent="0.3">
      <c r="A13" s="562">
        <v>2</v>
      </c>
      <c r="B13" s="417"/>
      <c r="C13" s="417"/>
      <c r="D13" s="413" t="s">
        <v>157</v>
      </c>
      <c r="E13" s="418"/>
      <c r="F13" s="419"/>
      <c r="G13" s="419"/>
      <c r="H13" s="606">
        <f>SUM(H14:H15)</f>
        <v>74184.600000000006</v>
      </c>
      <c r="I13" s="17">
        <f t="shared" si="0"/>
        <v>0.10968381534608025</v>
      </c>
      <c r="J13" s="146"/>
      <c r="K13" s="147"/>
      <c r="M13" s="141"/>
    </row>
    <row r="14" spans="1:13" s="140" customFormat="1" ht="18" x14ac:dyDescent="0.25">
      <c r="A14" s="29" t="s">
        <v>167</v>
      </c>
      <c r="B14" s="374" t="s">
        <v>205</v>
      </c>
      <c r="C14" s="372" t="s">
        <v>303</v>
      </c>
      <c r="D14" s="148" t="s">
        <v>715</v>
      </c>
      <c r="E14" s="149" t="s">
        <v>158</v>
      </c>
      <c r="F14" s="142">
        <v>4</v>
      </c>
      <c r="G14" s="142">
        <f>22781.62/2</f>
        <v>11390.81</v>
      </c>
      <c r="H14" s="608">
        <f t="shared" ref="H14" si="2">G14*F14</f>
        <v>45563.24</v>
      </c>
      <c r="I14" s="17">
        <f t="shared" si="0"/>
        <v>6.73664076200335E-2</v>
      </c>
      <c r="J14" s="146"/>
      <c r="K14" s="146"/>
      <c r="M14" s="141"/>
    </row>
    <row r="15" spans="1:13" s="140" customFormat="1" ht="18.75" thickBot="1" x14ac:dyDescent="0.3">
      <c r="A15" s="29" t="s">
        <v>197</v>
      </c>
      <c r="B15" s="375" t="s">
        <v>331</v>
      </c>
      <c r="C15" s="372" t="s">
        <v>303</v>
      </c>
      <c r="D15" s="150" t="s">
        <v>175</v>
      </c>
      <c r="E15" s="145" t="s">
        <v>158</v>
      </c>
      <c r="F15" s="142">
        <v>4</v>
      </c>
      <c r="G15" s="144">
        <v>7155.34</v>
      </c>
      <c r="H15" s="608">
        <f>G15*F15</f>
        <v>28621.360000000001</v>
      </c>
      <c r="I15" s="17">
        <f t="shared" si="0"/>
        <v>4.2317407726046745E-2</v>
      </c>
      <c r="J15" s="146"/>
      <c r="K15" s="146"/>
      <c r="M15" s="141"/>
    </row>
    <row r="16" spans="1:13" s="28" customFormat="1" ht="18" customHeight="1" thickBot="1" x14ac:dyDescent="0.3">
      <c r="A16" s="411">
        <v>3</v>
      </c>
      <c r="B16" s="422"/>
      <c r="C16" s="422"/>
      <c r="D16" s="413" t="s">
        <v>529</v>
      </c>
      <c r="E16" s="416"/>
      <c r="F16" s="425"/>
      <c r="G16" s="423"/>
      <c r="H16" s="606">
        <f>SUM(H17:H20)</f>
        <v>7033.3382000000001</v>
      </c>
      <c r="I16" s="17">
        <f t="shared" si="0"/>
        <v>1.0398969171436288E-2</v>
      </c>
    </row>
    <row r="17" spans="1:13" s="154" customFormat="1" ht="36" x14ac:dyDescent="0.25">
      <c r="A17" s="29" t="s">
        <v>422</v>
      </c>
      <c r="B17" s="395" t="s">
        <v>198</v>
      </c>
      <c r="C17" s="372" t="s">
        <v>303</v>
      </c>
      <c r="D17" s="151" t="s">
        <v>199</v>
      </c>
      <c r="E17" s="152" t="s">
        <v>200</v>
      </c>
      <c r="F17" s="153">
        <f>5*3</f>
        <v>15</v>
      </c>
      <c r="G17" s="153">
        <v>21.6</v>
      </c>
      <c r="H17" s="587">
        <f>G17*F17</f>
        <v>324</v>
      </c>
      <c r="I17" s="17">
        <f t="shared" si="0"/>
        <v>4.7904222941324751E-4</v>
      </c>
      <c r="J17" s="146"/>
      <c r="K17" s="146"/>
      <c r="M17" s="155"/>
    </row>
    <row r="18" spans="1:13" s="154" customFormat="1" ht="36" x14ac:dyDescent="0.25">
      <c r="A18" s="29" t="s">
        <v>371</v>
      </c>
      <c r="B18" s="376" t="s">
        <v>201</v>
      </c>
      <c r="C18" s="372" t="s">
        <v>303</v>
      </c>
      <c r="D18" s="151" t="s">
        <v>171</v>
      </c>
      <c r="E18" s="143" t="s">
        <v>153</v>
      </c>
      <c r="F18" s="153">
        <f>F17</f>
        <v>15</v>
      </c>
      <c r="G18" s="153">
        <v>33.85</v>
      </c>
      <c r="H18" s="587">
        <f>G18*F18</f>
        <v>507.75</v>
      </c>
      <c r="I18" s="17">
        <f t="shared" si="0"/>
        <v>7.5072127155733465E-4</v>
      </c>
      <c r="J18" s="146"/>
      <c r="K18" s="146"/>
      <c r="M18" s="155"/>
    </row>
    <row r="19" spans="1:13" s="154" customFormat="1" ht="36" x14ac:dyDescent="0.25">
      <c r="A19" s="29" t="s">
        <v>372</v>
      </c>
      <c r="B19" s="380" t="s">
        <v>202</v>
      </c>
      <c r="C19" s="372" t="s">
        <v>303</v>
      </c>
      <c r="D19" s="399" t="s">
        <v>203</v>
      </c>
      <c r="E19" s="145" t="s">
        <v>158</v>
      </c>
      <c r="F19" s="144">
        <v>4</v>
      </c>
      <c r="G19" s="144">
        <v>1328.12</v>
      </c>
      <c r="H19" s="587">
        <f>G19*F19</f>
        <v>5312.48</v>
      </c>
      <c r="I19" s="17">
        <f t="shared" si="0"/>
        <v>7.8546366139299034E-3</v>
      </c>
      <c r="J19" s="146"/>
      <c r="K19" s="146"/>
      <c r="M19" s="155"/>
    </row>
    <row r="20" spans="1:13" s="154" customFormat="1" ht="81" customHeight="1" thickBot="1" x14ac:dyDescent="0.3">
      <c r="A20" s="29" t="s">
        <v>341</v>
      </c>
      <c r="B20" s="380" t="s">
        <v>164</v>
      </c>
      <c r="C20" s="372" t="s">
        <v>164</v>
      </c>
      <c r="D20" s="399" t="str">
        <f>COMPOSIÇÕES!D311</f>
        <v>MOBILIZAÇÃO E DESMOBILIZAÇÃO DE CONTAINER, INCLUSIVE CARGA, DESCARGA E TRANSPORTE EM CAMINHÃO CARROCERIA COM GUINDAUTO (MUNCK), EXCLUSIVE LOCAÇÃO DO CONTAINER ( SETOP ED-31952)</v>
      </c>
      <c r="E20" s="145" t="s">
        <v>2</v>
      </c>
      <c r="F20" s="144">
        <v>1</v>
      </c>
      <c r="G20" s="144">
        <f>COMPOSIÇÕES!H314</f>
        <v>889.10820000000012</v>
      </c>
      <c r="H20" s="587">
        <f>G20*F20</f>
        <v>889.10820000000012</v>
      </c>
      <c r="I20" s="17">
        <f t="shared" si="0"/>
        <v>1.3145690565358012E-3</v>
      </c>
      <c r="J20" s="146"/>
      <c r="K20" s="146"/>
      <c r="M20" s="155"/>
    </row>
    <row r="21" spans="1:13" s="28" customFormat="1" ht="18.75" customHeight="1" thickBot="1" x14ac:dyDescent="0.3">
      <c r="A21" s="411">
        <v>4</v>
      </c>
      <c r="B21" s="422"/>
      <c r="C21" s="422"/>
      <c r="D21" s="413" t="s">
        <v>530</v>
      </c>
      <c r="E21" s="416"/>
      <c r="F21" s="425"/>
      <c r="G21" s="423"/>
      <c r="H21" s="606">
        <f>SUM(H22:H26)</f>
        <v>3745.0163397500005</v>
      </c>
      <c r="I21" s="17">
        <f t="shared" si="0"/>
        <v>5.5371017795767903E-3</v>
      </c>
    </row>
    <row r="22" spans="1:13" s="28" customFormat="1" ht="18" customHeight="1" x14ac:dyDescent="0.25">
      <c r="A22" s="642" t="s">
        <v>168</v>
      </c>
      <c r="B22" s="643" t="s">
        <v>555</v>
      </c>
      <c r="C22" s="372" t="s">
        <v>304</v>
      </c>
      <c r="D22" s="130" t="s">
        <v>537</v>
      </c>
      <c r="E22" s="644" t="s">
        <v>159</v>
      </c>
      <c r="F22" s="560">
        <v>1</v>
      </c>
      <c r="G22" s="645">
        <v>270.88</v>
      </c>
      <c r="H22" s="587">
        <f t="shared" ref="H22:H26" si="3">G22*F22</f>
        <v>270.88</v>
      </c>
      <c r="I22" s="17">
        <f t="shared" si="0"/>
        <v>4.005029601958657E-4</v>
      </c>
    </row>
    <row r="23" spans="1:13" s="28" customFormat="1" ht="36" x14ac:dyDescent="0.25">
      <c r="A23" s="646" t="s">
        <v>169</v>
      </c>
      <c r="B23" s="647" t="s">
        <v>531</v>
      </c>
      <c r="C23" s="372" t="s">
        <v>303</v>
      </c>
      <c r="D23" s="648" t="s">
        <v>538</v>
      </c>
      <c r="E23" s="644" t="s">
        <v>159</v>
      </c>
      <c r="F23" s="144">
        <v>0.5</v>
      </c>
      <c r="G23" s="649">
        <v>65.36</v>
      </c>
      <c r="H23" s="587">
        <f t="shared" si="3"/>
        <v>32.68</v>
      </c>
      <c r="I23" s="17">
        <f t="shared" si="0"/>
        <v>4.8318210053163361E-5</v>
      </c>
    </row>
    <row r="24" spans="1:13" s="140" customFormat="1" ht="18" x14ac:dyDescent="0.25">
      <c r="A24" s="642" t="s">
        <v>340</v>
      </c>
      <c r="B24" s="372" t="s">
        <v>164</v>
      </c>
      <c r="C24" s="377" t="s">
        <v>164</v>
      </c>
      <c r="D24" s="130" t="s">
        <v>532</v>
      </c>
      <c r="E24" s="644" t="s">
        <v>533</v>
      </c>
      <c r="F24" s="144">
        <f>(F22*1.3)+(F23*1.3)</f>
        <v>1.9500000000000002</v>
      </c>
      <c r="G24" s="650">
        <f>COMPOSIÇÕES!H37</f>
        <v>1664.6294050000001</v>
      </c>
      <c r="H24" s="611">
        <f t="shared" si="3"/>
        <v>3246.0273397500005</v>
      </c>
      <c r="I24" s="17">
        <f t="shared" si="0"/>
        <v>4.7993338690438059E-3</v>
      </c>
      <c r="J24" s="547"/>
      <c r="K24" s="548"/>
    </row>
    <row r="25" spans="1:13" s="140" customFormat="1" ht="32.25" customHeight="1" x14ac:dyDescent="0.25">
      <c r="A25" s="646" t="s">
        <v>423</v>
      </c>
      <c r="B25" s="647" t="s">
        <v>557</v>
      </c>
      <c r="C25" s="372" t="s">
        <v>304</v>
      </c>
      <c r="D25" s="130" t="s">
        <v>534</v>
      </c>
      <c r="E25" s="644" t="s">
        <v>159</v>
      </c>
      <c r="F25" s="144">
        <f>(F22*1.3)+(F23*1.3)</f>
        <v>1.9500000000000002</v>
      </c>
      <c r="G25" s="650">
        <v>11.12</v>
      </c>
      <c r="H25" s="611">
        <f t="shared" si="3"/>
        <v>21.684000000000001</v>
      </c>
      <c r="I25" s="17">
        <f t="shared" si="0"/>
        <v>3.2060344761101416E-5</v>
      </c>
      <c r="J25" s="547"/>
      <c r="K25" s="548"/>
    </row>
    <row r="26" spans="1:13" s="140" customFormat="1" ht="36.75" thickBot="1" x14ac:dyDescent="0.3">
      <c r="A26" s="642" t="s">
        <v>357</v>
      </c>
      <c r="B26" s="651" t="s">
        <v>535</v>
      </c>
      <c r="C26" s="372" t="s">
        <v>303</v>
      </c>
      <c r="D26" s="355" t="s">
        <v>536</v>
      </c>
      <c r="E26" s="644" t="s">
        <v>533</v>
      </c>
      <c r="F26" s="144">
        <f>F25*30</f>
        <v>58.500000000000007</v>
      </c>
      <c r="G26" s="650">
        <v>2.97</v>
      </c>
      <c r="H26" s="587">
        <f t="shared" si="3"/>
        <v>173.74500000000003</v>
      </c>
      <c r="I26" s="17">
        <f t="shared" si="0"/>
        <v>2.56886395522854E-4</v>
      </c>
      <c r="J26" s="547"/>
      <c r="K26" s="548"/>
    </row>
    <row r="27" spans="1:13" s="28" customFormat="1" ht="18" customHeight="1" thickBot="1" x14ac:dyDescent="0.3">
      <c r="A27" s="411">
        <v>5</v>
      </c>
      <c r="B27" s="422"/>
      <c r="C27" s="422"/>
      <c r="D27" s="413" t="s">
        <v>191</v>
      </c>
      <c r="E27" s="416"/>
      <c r="F27" s="425"/>
      <c r="G27" s="423"/>
      <c r="H27" s="606">
        <f>SUM(H28:H34)</f>
        <v>46265.388147432619</v>
      </c>
      <c r="I27" s="17">
        <f t="shared" si="0"/>
        <v>6.8404551490170856E-2</v>
      </c>
    </row>
    <row r="28" spans="1:13" s="346" customFormat="1" ht="36" x14ac:dyDescent="0.25">
      <c r="A28" s="29" t="s">
        <v>363</v>
      </c>
      <c r="B28" s="377">
        <v>11492</v>
      </c>
      <c r="C28" s="377" t="s">
        <v>304</v>
      </c>
      <c r="D28" s="369" t="s">
        <v>249</v>
      </c>
      <c r="E28" s="353" t="s">
        <v>1</v>
      </c>
      <c r="F28" s="153">
        <v>316.70999999999998</v>
      </c>
      <c r="G28" s="16">
        <v>57.92</v>
      </c>
      <c r="H28" s="609">
        <f>G28*F28</f>
        <v>18343.843199999999</v>
      </c>
      <c r="I28" s="17">
        <f t="shared" si="0"/>
        <v>2.7121838094243948E-2</v>
      </c>
      <c r="J28" s="28"/>
      <c r="K28" s="28"/>
      <c r="L28" s="28"/>
      <c r="M28" s="28"/>
    </row>
    <row r="29" spans="1:13" s="346" customFormat="1" ht="54" x14ac:dyDescent="0.25">
      <c r="A29" s="29" t="s">
        <v>520</v>
      </c>
      <c r="B29" s="377">
        <v>103356</v>
      </c>
      <c r="C29" s="377" t="s">
        <v>303</v>
      </c>
      <c r="D29" s="369" t="s">
        <v>390</v>
      </c>
      <c r="E29" s="353" t="s">
        <v>1</v>
      </c>
      <c r="F29" s="153">
        <v>66.22</v>
      </c>
      <c r="G29" s="365">
        <v>67.760000000000005</v>
      </c>
      <c r="H29" s="609">
        <f>G29*F29</f>
        <v>4487.0672000000004</v>
      </c>
      <c r="I29" s="17">
        <f t="shared" si="0"/>
        <v>6.6342428241205498E-3</v>
      </c>
      <c r="J29" s="28"/>
      <c r="K29" s="28"/>
      <c r="L29" s="28"/>
      <c r="M29" s="28"/>
    </row>
    <row r="30" spans="1:13" s="346" customFormat="1" ht="54" x14ac:dyDescent="0.25">
      <c r="A30" s="29" t="s">
        <v>524</v>
      </c>
      <c r="B30" s="377">
        <v>87827</v>
      </c>
      <c r="C30" s="377" t="s">
        <v>303</v>
      </c>
      <c r="D30" s="369" t="s">
        <v>410</v>
      </c>
      <c r="E30" s="353" t="s">
        <v>1</v>
      </c>
      <c r="F30" s="153">
        <f>F29*2</f>
        <v>132.44</v>
      </c>
      <c r="G30" s="365">
        <v>90.72</v>
      </c>
      <c r="H30" s="609">
        <f t="shared" ref="H30:H33" si="4">G30*F30</f>
        <v>12014.9568</v>
      </c>
      <c r="I30" s="17">
        <f t="shared" si="0"/>
        <v>1.776441880177734E-2</v>
      </c>
      <c r="J30" s="28"/>
      <c r="K30" s="28"/>
      <c r="L30" s="28"/>
      <c r="M30" s="28"/>
    </row>
    <row r="31" spans="1:13" s="346" customFormat="1" ht="18" customHeight="1" x14ac:dyDescent="0.25">
      <c r="A31" s="29" t="s">
        <v>560</v>
      </c>
      <c r="B31" s="377">
        <v>97641</v>
      </c>
      <c r="C31" s="377" t="s">
        <v>303</v>
      </c>
      <c r="D31" s="369" t="s">
        <v>373</v>
      </c>
      <c r="E31" s="353" t="s">
        <v>1</v>
      </c>
      <c r="F31" s="153">
        <v>316.71499999999997</v>
      </c>
      <c r="G31" s="365">
        <v>3.42</v>
      </c>
      <c r="H31" s="609">
        <f t="shared" si="4"/>
        <v>1083.1652999999999</v>
      </c>
      <c r="I31" s="17">
        <f t="shared" si="0"/>
        <v>1.6014874078242871E-3</v>
      </c>
      <c r="J31" s="28"/>
      <c r="K31" s="28"/>
      <c r="L31" s="28"/>
      <c r="M31" s="28"/>
    </row>
    <row r="32" spans="1:13" s="346" customFormat="1" ht="36" customHeight="1" x14ac:dyDescent="0.25">
      <c r="A32" s="29" t="s">
        <v>561</v>
      </c>
      <c r="B32" s="377">
        <v>96485</v>
      </c>
      <c r="C32" s="377" t="s">
        <v>303</v>
      </c>
      <c r="D32" s="369" t="s">
        <v>442</v>
      </c>
      <c r="E32" s="353" t="s">
        <v>1</v>
      </c>
      <c r="F32" s="153">
        <v>48</v>
      </c>
      <c r="G32" s="365">
        <v>84.03</v>
      </c>
      <c r="H32" s="609">
        <f t="shared" si="4"/>
        <v>4033.44</v>
      </c>
      <c r="I32" s="17">
        <f t="shared" si="0"/>
        <v>5.963543487051139E-3</v>
      </c>
      <c r="J32" s="28"/>
      <c r="K32" s="28"/>
      <c r="L32" s="28"/>
      <c r="M32" s="28"/>
    </row>
    <row r="33" spans="1:13" s="346" customFormat="1" ht="18" customHeight="1" x14ac:dyDescent="0.25">
      <c r="A33" s="29" t="s">
        <v>562</v>
      </c>
      <c r="B33" s="377" t="s">
        <v>164</v>
      </c>
      <c r="C33" s="377" t="s">
        <v>164</v>
      </c>
      <c r="D33" s="512" t="s">
        <v>439</v>
      </c>
      <c r="E33" s="353" t="s">
        <v>1</v>
      </c>
      <c r="F33" s="153">
        <f>F34</f>
        <v>21.039809999999999</v>
      </c>
      <c r="G33" s="427">
        <f>COMPOSIÇÕES!H161</f>
        <v>26.166000000000004</v>
      </c>
      <c r="H33" s="609">
        <f t="shared" si="4"/>
        <v>550.52766846000009</v>
      </c>
      <c r="I33" s="17">
        <f t="shared" si="0"/>
        <v>8.139691409035667E-4</v>
      </c>
      <c r="J33" s="28"/>
      <c r="K33" s="28"/>
      <c r="L33" s="28"/>
      <c r="M33" s="28"/>
    </row>
    <row r="34" spans="1:13" s="346" customFormat="1" ht="18" customHeight="1" thickBot="1" x14ac:dyDescent="0.3">
      <c r="A34" s="29" t="s">
        <v>563</v>
      </c>
      <c r="B34" s="377" t="s">
        <v>164</v>
      </c>
      <c r="C34" s="407" t="s">
        <v>164</v>
      </c>
      <c r="D34" s="369" t="str">
        <f>COMPOSIÇÕES!D96</f>
        <v>COBOGÓ DE CONCRETO 30X30X09CM MODELO TRIÂNGULO MARCA -  INOVA ARTEFATOS</v>
      </c>
      <c r="E34" s="353" t="s">
        <v>1</v>
      </c>
      <c r="F34" s="153">
        <f>(6.19*3.09)*1.1</f>
        <v>21.039809999999999</v>
      </c>
      <c r="G34" s="345">
        <f>COMPOSIÇÕES!H101</f>
        <v>273.40493944444438</v>
      </c>
      <c r="H34" s="610">
        <f>G34*F34</f>
        <v>5752.3879789726152</v>
      </c>
      <c r="I34" s="17">
        <f t="shared" si="0"/>
        <v>8.5050517342500197E-3</v>
      </c>
      <c r="J34" s="28"/>
      <c r="K34" s="28"/>
      <c r="L34" s="28"/>
      <c r="M34" s="28"/>
    </row>
    <row r="35" spans="1:13" s="60" customFormat="1" ht="18.75" customHeight="1" thickBot="1" x14ac:dyDescent="0.3">
      <c r="A35" s="411">
        <v>6</v>
      </c>
      <c r="B35" s="412"/>
      <c r="C35" s="412"/>
      <c r="D35" s="413" t="s">
        <v>183</v>
      </c>
      <c r="E35" s="414"/>
      <c r="F35" s="591"/>
      <c r="G35" s="415"/>
      <c r="H35" s="606">
        <f>SUM(H36:H46)</f>
        <v>42539.682800000002</v>
      </c>
      <c r="I35" s="17">
        <f t="shared" si="0"/>
        <v>6.28960015032234E-2</v>
      </c>
    </row>
    <row r="36" spans="1:13" s="62" customFormat="1" ht="18" x14ac:dyDescent="0.25">
      <c r="A36" s="29" t="s">
        <v>155</v>
      </c>
      <c r="B36" s="378">
        <v>2187</v>
      </c>
      <c r="C36" s="378" t="s">
        <v>304</v>
      </c>
      <c r="D36" s="126" t="s">
        <v>192</v>
      </c>
      <c r="E36" s="127" t="s">
        <v>1</v>
      </c>
      <c r="F36" s="592">
        <v>274.14999999999998</v>
      </c>
      <c r="G36" s="16">
        <v>30.38</v>
      </c>
      <c r="H36" s="611">
        <f>F36*G36</f>
        <v>8328.6769999999997</v>
      </c>
      <c r="I36" s="17">
        <f t="shared" si="0"/>
        <v>1.2314160488095178E-2</v>
      </c>
      <c r="J36" s="61"/>
      <c r="K36" s="61"/>
    </row>
    <row r="37" spans="1:13" s="62" customFormat="1" ht="18" x14ac:dyDescent="0.25">
      <c r="A37" s="29" t="s">
        <v>177</v>
      </c>
      <c r="B37" s="378">
        <v>5022</v>
      </c>
      <c r="C37" s="378" t="s">
        <v>304</v>
      </c>
      <c r="D37" s="126" t="s">
        <v>184</v>
      </c>
      <c r="E37" s="127" t="s">
        <v>1</v>
      </c>
      <c r="F37" s="592">
        <v>274.14999999999998</v>
      </c>
      <c r="G37" s="16">
        <v>10</v>
      </c>
      <c r="H37" s="611">
        <f t="shared" ref="H37:H38" si="5">G37*F37</f>
        <v>2741.5</v>
      </c>
      <c r="I37" s="17">
        <f t="shared" si="0"/>
        <v>4.0533773825198087E-3</v>
      </c>
      <c r="J37" s="61"/>
      <c r="K37" s="61"/>
    </row>
    <row r="38" spans="1:13" s="62" customFormat="1" ht="36" x14ac:dyDescent="0.25">
      <c r="A38" s="29" t="s">
        <v>178</v>
      </c>
      <c r="B38" s="378">
        <v>9664</v>
      </c>
      <c r="C38" s="378" t="s">
        <v>304</v>
      </c>
      <c r="D38" s="126" t="s">
        <v>333</v>
      </c>
      <c r="E38" s="366" t="s">
        <v>159</v>
      </c>
      <c r="F38" s="593">
        <v>2</v>
      </c>
      <c r="G38" s="16">
        <v>42.15</v>
      </c>
      <c r="H38" s="611">
        <f t="shared" si="5"/>
        <v>84.3</v>
      </c>
      <c r="I38" s="17">
        <f t="shared" si="0"/>
        <v>1.2463969117140975E-4</v>
      </c>
      <c r="J38" s="61"/>
      <c r="K38" s="61"/>
    </row>
    <row r="39" spans="1:13" s="62" customFormat="1" ht="54" x14ac:dyDescent="0.25">
      <c r="A39" s="29" t="s">
        <v>358</v>
      </c>
      <c r="B39" s="379" t="s">
        <v>228</v>
      </c>
      <c r="C39" s="379" t="s">
        <v>303</v>
      </c>
      <c r="D39" s="126" t="s">
        <v>229</v>
      </c>
      <c r="E39" s="349" t="s">
        <v>1</v>
      </c>
      <c r="F39" s="142">
        <v>136</v>
      </c>
      <c r="G39" s="16">
        <v>104.57</v>
      </c>
      <c r="H39" s="611">
        <f t="shared" ref="H39:H45" si="6">G39*F39</f>
        <v>14221.519999999999</v>
      </c>
      <c r="I39" s="17">
        <f t="shared" si="0"/>
        <v>2.1026878538410763E-2</v>
      </c>
      <c r="J39" s="61"/>
      <c r="K39" s="61"/>
    </row>
    <row r="40" spans="1:13" s="62" customFormat="1" ht="54" x14ac:dyDescent="0.25">
      <c r="A40" s="29" t="s">
        <v>179</v>
      </c>
      <c r="B40" s="380" t="s">
        <v>307</v>
      </c>
      <c r="C40" s="380" t="s">
        <v>304</v>
      </c>
      <c r="D40" s="130" t="s">
        <v>326</v>
      </c>
      <c r="E40" s="349" t="s">
        <v>1</v>
      </c>
      <c r="F40" s="142">
        <v>1.5625</v>
      </c>
      <c r="G40" s="16">
        <v>153.91999999999999</v>
      </c>
      <c r="H40" s="611">
        <f t="shared" ref="H40" si="7">G40*F40</f>
        <v>240.49999999999997</v>
      </c>
      <c r="I40" s="17">
        <f t="shared" si="0"/>
        <v>3.5558535856137656E-4</v>
      </c>
      <c r="J40" s="61"/>
      <c r="K40" s="61"/>
    </row>
    <row r="41" spans="1:13" s="62" customFormat="1" ht="54" x14ac:dyDescent="0.25">
      <c r="A41" s="29" t="s">
        <v>181</v>
      </c>
      <c r="B41" s="380" t="s">
        <v>307</v>
      </c>
      <c r="C41" s="380" t="s">
        <v>304</v>
      </c>
      <c r="D41" s="130" t="s">
        <v>325</v>
      </c>
      <c r="E41" s="349" t="s">
        <v>1</v>
      </c>
      <c r="F41" s="142">
        <v>1.93</v>
      </c>
      <c r="G41" s="16">
        <v>153.91999999999999</v>
      </c>
      <c r="H41" s="587">
        <f t="shared" si="6"/>
        <v>297.06559999999996</v>
      </c>
      <c r="I41" s="17">
        <f t="shared" si="0"/>
        <v>4.3921903489501231E-4</v>
      </c>
      <c r="J41" s="61"/>
      <c r="K41" s="61"/>
    </row>
    <row r="42" spans="1:13" s="62" customFormat="1" ht="18" x14ac:dyDescent="0.25">
      <c r="A42" s="29" t="s">
        <v>188</v>
      </c>
      <c r="B42" s="380" t="s">
        <v>360</v>
      </c>
      <c r="C42" s="380" t="s">
        <v>304</v>
      </c>
      <c r="D42" s="130" t="s">
        <v>359</v>
      </c>
      <c r="E42" s="349" t="s">
        <v>153</v>
      </c>
      <c r="F42" s="144">
        <v>132.57</v>
      </c>
      <c r="G42" s="16">
        <v>8.15</v>
      </c>
      <c r="H42" s="587">
        <f t="shared" si="6"/>
        <v>1080.4455</v>
      </c>
      <c r="I42" s="17">
        <f t="shared" ref="I42:I73" si="8">H42/$H$222</f>
        <v>1.5974661144429348E-3</v>
      </c>
      <c r="J42" s="61"/>
      <c r="K42" s="61"/>
    </row>
    <row r="43" spans="1:13" s="62" customFormat="1" ht="18" x14ac:dyDescent="0.25">
      <c r="A43" s="29" t="s">
        <v>564</v>
      </c>
      <c r="B43" s="380" t="s">
        <v>362</v>
      </c>
      <c r="C43" s="380" t="s">
        <v>304</v>
      </c>
      <c r="D43" s="130" t="s">
        <v>361</v>
      </c>
      <c r="E43" s="349" t="s">
        <v>153</v>
      </c>
      <c r="F43" s="144">
        <v>251.35</v>
      </c>
      <c r="G43" s="16">
        <v>34.28</v>
      </c>
      <c r="H43" s="587">
        <f t="shared" si="6"/>
        <v>8616.2780000000002</v>
      </c>
      <c r="I43" s="17">
        <f t="shared" si="8"/>
        <v>1.2739385871494808E-2</v>
      </c>
      <c r="J43" s="61"/>
      <c r="K43" s="61"/>
    </row>
    <row r="44" spans="1:13" s="62" customFormat="1" ht="59.1" customHeight="1" x14ac:dyDescent="0.25">
      <c r="A44" s="29" t="s">
        <v>565</v>
      </c>
      <c r="B44" s="380" t="s">
        <v>368</v>
      </c>
      <c r="C44" s="380" t="s">
        <v>303</v>
      </c>
      <c r="D44" s="355" t="s">
        <v>365</v>
      </c>
      <c r="E44" s="349" t="s">
        <v>153</v>
      </c>
      <c r="F44" s="144">
        <v>13</v>
      </c>
      <c r="G44" s="16">
        <v>42.27</v>
      </c>
      <c r="H44" s="587">
        <f t="shared" si="6"/>
        <v>549.51</v>
      </c>
      <c r="I44" s="17">
        <f t="shared" si="8"/>
        <v>8.1246449223726423E-4</v>
      </c>
      <c r="J44" s="61"/>
      <c r="K44" s="61"/>
    </row>
    <row r="45" spans="1:13" s="62" customFormat="1" ht="59.1" customHeight="1" x14ac:dyDescent="0.25">
      <c r="A45" s="29" t="s">
        <v>566</v>
      </c>
      <c r="B45" s="380" t="s">
        <v>367</v>
      </c>
      <c r="C45" s="380" t="s">
        <v>303</v>
      </c>
      <c r="D45" s="130" t="s">
        <v>366</v>
      </c>
      <c r="E45" s="349" t="s">
        <v>153</v>
      </c>
      <c r="F45" s="144">
        <v>33</v>
      </c>
      <c r="G45" s="16">
        <v>39.01</v>
      </c>
      <c r="H45" s="587">
        <f t="shared" si="6"/>
        <v>1287.33</v>
      </c>
      <c r="I45" s="17">
        <f t="shared" si="8"/>
        <v>1.9033501024399873E-3</v>
      </c>
      <c r="J45" s="61"/>
      <c r="K45" s="61"/>
    </row>
    <row r="46" spans="1:13" s="62" customFormat="1" ht="36.75" thickBot="1" x14ac:dyDescent="0.3">
      <c r="A46" s="29" t="s">
        <v>567</v>
      </c>
      <c r="B46" s="406">
        <v>95002</v>
      </c>
      <c r="C46" s="407" t="s">
        <v>303</v>
      </c>
      <c r="D46" s="408" t="s">
        <v>374</v>
      </c>
      <c r="E46" s="128" t="s">
        <v>1</v>
      </c>
      <c r="F46" s="594">
        <v>85.69</v>
      </c>
      <c r="G46" s="345">
        <v>59.43</v>
      </c>
      <c r="H46" s="588">
        <f>G46*F46</f>
        <v>5092.5567000000001</v>
      </c>
      <c r="I46" s="17">
        <f t="shared" si="8"/>
        <v>7.5294744289548477E-3</v>
      </c>
      <c r="J46" s="61"/>
      <c r="K46" s="61"/>
    </row>
    <row r="47" spans="1:13" s="62" customFormat="1" ht="18" x14ac:dyDescent="0.25">
      <c r="A47" s="564">
        <v>7</v>
      </c>
      <c r="B47" s="543"/>
      <c r="C47" s="543"/>
      <c r="D47" s="544" t="s">
        <v>716</v>
      </c>
      <c r="E47" s="545"/>
      <c r="F47" s="595"/>
      <c r="G47" s="546"/>
      <c r="H47" s="612">
        <f>SUM(H48:H50)</f>
        <v>73783.600000000006</v>
      </c>
      <c r="I47" s="17">
        <f t="shared" si="8"/>
        <v>0.10909092666091139</v>
      </c>
      <c r="J47" s="61"/>
      <c r="K47" s="61"/>
    </row>
    <row r="48" spans="1:13" s="62" customFormat="1" ht="18" x14ac:dyDescent="0.25">
      <c r="A48" s="566" t="s">
        <v>482</v>
      </c>
      <c r="B48" s="373" t="s">
        <v>164</v>
      </c>
      <c r="C48" s="373" t="s">
        <v>164</v>
      </c>
      <c r="D48" s="511" t="str">
        <f>COMPOSIÇÕES!D174</f>
        <v>REMOÇÃO DE ARMÁRIO</v>
      </c>
      <c r="E48" s="349" t="s">
        <v>2</v>
      </c>
      <c r="F48" s="144">
        <v>26</v>
      </c>
      <c r="G48" s="16">
        <f>COMPOSIÇÕES!H177</f>
        <v>56.8</v>
      </c>
      <c r="H48" s="587">
        <f>G48*F48</f>
        <v>1476.8</v>
      </c>
      <c r="I48" s="17">
        <f t="shared" si="8"/>
        <v>2.1834863098687774E-3</v>
      </c>
      <c r="J48" s="61"/>
      <c r="K48" s="61"/>
    </row>
    <row r="49" spans="1:15" s="62" customFormat="1" ht="18" x14ac:dyDescent="0.25">
      <c r="A49" s="566" t="s">
        <v>483</v>
      </c>
      <c r="B49" s="373" t="s">
        <v>164</v>
      </c>
      <c r="C49" s="373" t="s">
        <v>164</v>
      </c>
      <c r="D49" s="511" t="str">
        <f>COMPOSIÇÕES!D180</f>
        <v>RECOLOCAÇÃO DE ARMÁRIO</v>
      </c>
      <c r="E49" s="349" t="s">
        <v>2</v>
      </c>
      <c r="F49" s="144">
        <v>26</v>
      </c>
      <c r="G49" s="16">
        <f>COMPOSIÇÕES!H183</f>
        <v>56.8</v>
      </c>
      <c r="H49" s="587">
        <f>G49*F49</f>
        <v>1476.8</v>
      </c>
      <c r="I49" s="17">
        <f t="shared" si="8"/>
        <v>2.1834863098687774E-3</v>
      </c>
      <c r="J49" s="61"/>
      <c r="K49" s="61"/>
    </row>
    <row r="50" spans="1:15" s="62" customFormat="1" ht="18" x14ac:dyDescent="0.25">
      <c r="A50" s="566" t="s">
        <v>484</v>
      </c>
      <c r="B50" s="373" t="s">
        <v>233</v>
      </c>
      <c r="C50" s="373" t="s">
        <v>233</v>
      </c>
      <c r="D50" s="511" t="s">
        <v>430</v>
      </c>
      <c r="E50" s="349" t="s">
        <v>2</v>
      </c>
      <c r="F50" s="144">
        <v>1</v>
      </c>
      <c r="G50" s="16">
        <v>70830</v>
      </c>
      <c r="H50" s="587">
        <f>G50*F50</f>
        <v>70830</v>
      </c>
      <c r="I50" s="17">
        <f t="shared" si="8"/>
        <v>0.10472395404117382</v>
      </c>
      <c r="J50" s="536"/>
      <c r="K50" s="536"/>
      <c r="L50" s="534"/>
      <c r="M50" s="534"/>
      <c r="N50" s="534"/>
      <c r="O50" s="534"/>
    </row>
    <row r="51" spans="1:15" s="62" customFormat="1" ht="18" customHeight="1" thickBot="1" x14ac:dyDescent="0.3">
      <c r="A51" s="562">
        <v>8</v>
      </c>
      <c r="B51" s="537"/>
      <c r="C51" s="537"/>
      <c r="D51" s="538" t="s">
        <v>185</v>
      </c>
      <c r="E51" s="539"/>
      <c r="F51" s="596"/>
      <c r="G51" s="540"/>
      <c r="H51" s="613">
        <f>SUM(H52:H58)</f>
        <v>41114.014504000013</v>
      </c>
      <c r="I51" s="17">
        <f t="shared" si="8"/>
        <v>6.0788114716434444E-2</v>
      </c>
      <c r="J51" s="347"/>
    </row>
    <row r="52" spans="1:15" s="62" customFormat="1" ht="18" x14ac:dyDescent="0.25">
      <c r="A52" s="29" t="s">
        <v>170</v>
      </c>
      <c r="B52" s="381" t="s">
        <v>212</v>
      </c>
      <c r="C52" s="381" t="s">
        <v>303</v>
      </c>
      <c r="D52" s="174" t="s">
        <v>213</v>
      </c>
      <c r="E52" s="409" t="s">
        <v>1</v>
      </c>
      <c r="F52" s="421">
        <v>1258.48</v>
      </c>
      <c r="G52" s="344">
        <v>4.5999999999999996</v>
      </c>
      <c r="H52" s="611">
        <f>G52*F52</f>
        <v>5789.0079999999998</v>
      </c>
      <c r="I52" s="17">
        <f t="shared" si="8"/>
        <v>8.5591953654664352E-3</v>
      </c>
      <c r="J52" s="347"/>
      <c r="K52" s="61"/>
      <c r="L52" s="62">
        <f>385*L41</f>
        <v>0</v>
      </c>
    </row>
    <row r="53" spans="1:15" s="62" customFormat="1" ht="36" x14ac:dyDescent="0.25">
      <c r="A53" s="29" t="s">
        <v>338</v>
      </c>
      <c r="B53" s="381" t="s">
        <v>237</v>
      </c>
      <c r="C53" s="381" t="s">
        <v>303</v>
      </c>
      <c r="D53" s="174" t="s">
        <v>238</v>
      </c>
      <c r="E53" s="359" t="s">
        <v>1</v>
      </c>
      <c r="F53" s="153">
        <f>F52</f>
        <v>1258.48</v>
      </c>
      <c r="G53" s="16">
        <v>12.71</v>
      </c>
      <c r="H53" s="611">
        <f>G53*F53</f>
        <v>15995.2808</v>
      </c>
      <c r="I53" s="17">
        <f t="shared" si="8"/>
        <v>2.3649428933712694E-2</v>
      </c>
      <c r="J53" s="347"/>
      <c r="K53" s="61"/>
    </row>
    <row r="54" spans="1:15" s="62" customFormat="1" ht="24" customHeight="1" x14ac:dyDescent="0.25">
      <c r="A54" s="29" t="s">
        <v>264</v>
      </c>
      <c r="B54" s="381" t="s">
        <v>214</v>
      </c>
      <c r="C54" s="381" t="s">
        <v>303</v>
      </c>
      <c r="D54" s="174" t="s">
        <v>215</v>
      </c>
      <c r="E54" s="128" t="s">
        <v>1</v>
      </c>
      <c r="F54" s="597">
        <f>F52</f>
        <v>1258.48</v>
      </c>
      <c r="G54" s="16">
        <v>13.96</v>
      </c>
      <c r="H54" s="611">
        <f t="shared" ref="H54" si="9">G54*F54</f>
        <v>17568.380800000003</v>
      </c>
      <c r="I54" s="17">
        <f t="shared" si="8"/>
        <v>2.5975297239545968E-2</v>
      </c>
      <c r="J54" s="347"/>
      <c r="K54" s="61"/>
    </row>
    <row r="55" spans="1:15" s="62" customFormat="1" ht="18" x14ac:dyDescent="0.25">
      <c r="A55" s="29" t="s">
        <v>450</v>
      </c>
      <c r="B55" s="377">
        <v>102197</v>
      </c>
      <c r="C55" s="377" t="s">
        <v>303</v>
      </c>
      <c r="D55" s="358" t="s">
        <v>224</v>
      </c>
      <c r="E55" s="349" t="str">
        <f>$E$56</f>
        <v>M2</v>
      </c>
      <c r="F55" s="144">
        <v>17.314800000000002</v>
      </c>
      <c r="G55" s="16">
        <v>24.48</v>
      </c>
      <c r="H55" s="611">
        <f>F55*G55</f>
        <v>423.86630400000007</v>
      </c>
      <c r="I55" s="17">
        <f t="shared" si="8"/>
        <v>6.2669709642380661E-4</v>
      </c>
      <c r="J55" s="347"/>
      <c r="K55" s="61"/>
    </row>
    <row r="56" spans="1:15" s="62" customFormat="1" ht="36" x14ac:dyDescent="0.25">
      <c r="A56" s="29" t="s">
        <v>265</v>
      </c>
      <c r="B56" s="377">
        <v>102218</v>
      </c>
      <c r="C56" s="377" t="s">
        <v>303</v>
      </c>
      <c r="D56" s="358" t="s">
        <v>274</v>
      </c>
      <c r="E56" s="349" t="s">
        <v>1</v>
      </c>
      <c r="F56" s="144">
        <v>42</v>
      </c>
      <c r="G56" s="16">
        <v>19.28</v>
      </c>
      <c r="H56" s="611">
        <f t="shared" ref="H56:H58" si="10">F56*G56</f>
        <v>809.76</v>
      </c>
      <c r="I56" s="17">
        <f t="shared" si="8"/>
        <v>1.1972507274372571E-3</v>
      </c>
      <c r="J56" s="347"/>
      <c r="K56" s="61"/>
    </row>
    <row r="57" spans="1:15" s="62" customFormat="1" ht="54" x14ac:dyDescent="0.25">
      <c r="A57" s="29" t="s">
        <v>318</v>
      </c>
      <c r="B57" s="377">
        <v>100722</v>
      </c>
      <c r="C57" s="377" t="s">
        <v>303</v>
      </c>
      <c r="D57" s="358" t="s">
        <v>225</v>
      </c>
      <c r="E57" s="349" t="s">
        <v>1</v>
      </c>
      <c r="F57" s="144">
        <f>F74</f>
        <v>11.219999999999999</v>
      </c>
      <c r="G57" s="16">
        <v>29.13</v>
      </c>
      <c r="H57" s="611">
        <f t="shared" si="10"/>
        <v>326.83859999999993</v>
      </c>
      <c r="I57" s="17">
        <f t="shared" si="8"/>
        <v>4.8323917161205123E-4</v>
      </c>
      <c r="J57" s="347"/>
      <c r="K57" s="61"/>
    </row>
    <row r="58" spans="1:15" s="62" customFormat="1" ht="36.75" thickBot="1" x14ac:dyDescent="0.3">
      <c r="A58" s="29" t="s">
        <v>319</v>
      </c>
      <c r="B58" s="377">
        <v>10602</v>
      </c>
      <c r="C58" s="377" t="s">
        <v>304</v>
      </c>
      <c r="D58" s="358" t="s">
        <v>259</v>
      </c>
      <c r="E58" s="349" t="s">
        <v>1</v>
      </c>
      <c r="F58" s="144">
        <v>8.1</v>
      </c>
      <c r="G58" s="365">
        <v>24.8</v>
      </c>
      <c r="H58" s="611">
        <f t="shared" si="10"/>
        <v>200.88</v>
      </c>
      <c r="I58" s="17">
        <f t="shared" si="8"/>
        <v>2.9700618223621342E-4</v>
      </c>
      <c r="J58" s="347"/>
      <c r="K58" s="61"/>
    </row>
    <row r="59" spans="1:15" s="60" customFormat="1" ht="18.75" customHeight="1" thickBot="1" x14ac:dyDescent="0.3">
      <c r="A59" s="411">
        <v>9</v>
      </c>
      <c r="B59" s="412"/>
      <c r="C59" s="412"/>
      <c r="D59" s="413" t="s">
        <v>186</v>
      </c>
      <c r="E59" s="414"/>
      <c r="F59" s="425"/>
      <c r="G59" s="415"/>
      <c r="H59" s="606">
        <f>SUM(H60:H132)</f>
        <v>100688.93798325321</v>
      </c>
      <c r="I59" s="17">
        <f t="shared" si="8"/>
        <v>0.14887115224922789</v>
      </c>
    </row>
    <row r="60" spans="1:15" s="60" customFormat="1" ht="78.75" customHeight="1" x14ac:dyDescent="0.25">
      <c r="A60" s="29" t="s">
        <v>485</v>
      </c>
      <c r="B60" s="410">
        <v>90844</v>
      </c>
      <c r="C60" s="410" t="s">
        <v>303</v>
      </c>
      <c r="D60" s="524" t="s">
        <v>253</v>
      </c>
      <c r="E60" s="356" t="s">
        <v>2</v>
      </c>
      <c r="F60" s="142">
        <v>3</v>
      </c>
      <c r="G60" s="344">
        <v>1262.04</v>
      </c>
      <c r="H60" s="611">
        <f>F60*G60</f>
        <v>3786.12</v>
      </c>
      <c r="I60" s="17">
        <f t="shared" si="8"/>
        <v>5.5978745852656928E-3</v>
      </c>
    </row>
    <row r="61" spans="1:15" s="60" customFormat="1" ht="72" x14ac:dyDescent="0.25">
      <c r="A61" s="29" t="s">
        <v>320</v>
      </c>
      <c r="B61" s="382">
        <v>90843</v>
      </c>
      <c r="C61" s="382" t="s">
        <v>303</v>
      </c>
      <c r="D61" s="518" t="s">
        <v>254</v>
      </c>
      <c r="E61" s="349" t="s">
        <v>2</v>
      </c>
      <c r="F61" s="144">
        <v>1</v>
      </c>
      <c r="G61" s="16">
        <v>1179.1099999999999</v>
      </c>
      <c r="H61" s="587">
        <f>F61*G61</f>
        <v>1179.1099999999999</v>
      </c>
      <c r="I61" s="17">
        <f t="shared" si="8"/>
        <v>1.7433440837143648E-3</v>
      </c>
    </row>
    <row r="62" spans="1:15" s="60" customFormat="1" ht="75.75" customHeight="1" x14ac:dyDescent="0.25">
      <c r="A62" s="29" t="s">
        <v>266</v>
      </c>
      <c r="B62" s="382">
        <v>90844</v>
      </c>
      <c r="C62" s="382" t="s">
        <v>303</v>
      </c>
      <c r="D62" s="519" t="s">
        <v>452</v>
      </c>
      <c r="E62" s="349" t="s">
        <v>2</v>
      </c>
      <c r="F62" s="144">
        <v>2</v>
      </c>
      <c r="G62" s="16">
        <f>G60</f>
        <v>1262.04</v>
      </c>
      <c r="H62" s="587">
        <f>F62*G62</f>
        <v>2524.08</v>
      </c>
      <c r="I62" s="17">
        <f t="shared" si="8"/>
        <v>3.7319163901771285E-3</v>
      </c>
    </row>
    <row r="63" spans="1:15" s="60" customFormat="1" ht="18" x14ac:dyDescent="0.25">
      <c r="A63" s="29" t="s">
        <v>321</v>
      </c>
      <c r="B63" s="382">
        <v>100874</v>
      </c>
      <c r="C63" s="382" t="s">
        <v>303</v>
      </c>
      <c r="D63" s="518" t="s">
        <v>443</v>
      </c>
      <c r="E63" s="349" t="s">
        <v>2</v>
      </c>
      <c r="F63" s="144">
        <v>2</v>
      </c>
      <c r="G63" s="16">
        <v>287.38</v>
      </c>
      <c r="H63" s="587">
        <f>F63*G63</f>
        <v>574.76</v>
      </c>
      <c r="I63" s="17">
        <f t="shared" si="8"/>
        <v>8.4979725857271024E-4</v>
      </c>
    </row>
    <row r="64" spans="1:15" s="60" customFormat="1" ht="39.75" customHeight="1" x14ac:dyDescent="0.25">
      <c r="A64" s="29" t="s">
        <v>322</v>
      </c>
      <c r="B64" s="379" t="s">
        <v>164</v>
      </c>
      <c r="C64" s="383" t="s">
        <v>164</v>
      </c>
      <c r="D64" s="522" t="str">
        <f>COMPOSIÇÕES!D60</f>
        <v>ACESSIBILIDADE - PLACA DE IMPACTO DE PORTA EM AÇO INOX 90X40CM</v>
      </c>
      <c r="E64" s="349" t="s">
        <v>2</v>
      </c>
      <c r="F64" s="144">
        <v>4</v>
      </c>
      <c r="G64" s="16">
        <f>COMPOSIÇÕES!H65</f>
        <v>243.24599999999998</v>
      </c>
      <c r="H64" s="587">
        <f t="shared" ref="H64:H74" si="11">F64*G64</f>
        <v>972.98399999999992</v>
      </c>
      <c r="I64" s="17">
        <f t="shared" si="8"/>
        <v>1.4385815572327751E-3</v>
      </c>
    </row>
    <row r="65" spans="1:9" s="60" customFormat="1" ht="18" x14ac:dyDescent="0.25">
      <c r="A65" s="29" t="s">
        <v>342</v>
      </c>
      <c r="B65" s="379" t="s">
        <v>305</v>
      </c>
      <c r="C65" s="384" t="s">
        <v>304</v>
      </c>
      <c r="D65" s="523" t="s">
        <v>276</v>
      </c>
      <c r="E65" s="349" t="s">
        <v>1</v>
      </c>
      <c r="F65" s="144">
        <f>(0.9*0.95)*2</f>
        <v>1.71</v>
      </c>
      <c r="G65" s="16">
        <v>536.13</v>
      </c>
      <c r="H65" s="587">
        <f t="shared" si="11"/>
        <v>916.78229999999996</v>
      </c>
      <c r="I65" s="17">
        <f t="shared" si="8"/>
        <v>1.3554859162919898E-3</v>
      </c>
    </row>
    <row r="66" spans="1:9" s="60" customFormat="1" ht="18" x14ac:dyDescent="0.25">
      <c r="A66" s="29" t="s">
        <v>339</v>
      </c>
      <c r="B66" s="379" t="s">
        <v>306</v>
      </c>
      <c r="C66" s="384" t="s">
        <v>304</v>
      </c>
      <c r="D66" s="523" t="s">
        <v>277</v>
      </c>
      <c r="E66" s="349" t="s">
        <v>1</v>
      </c>
      <c r="F66" s="144">
        <f>F65</f>
        <v>1.71</v>
      </c>
      <c r="G66" s="16">
        <v>155</v>
      </c>
      <c r="H66" s="587">
        <f t="shared" si="11"/>
        <v>265.05</v>
      </c>
      <c r="I66" s="17">
        <f t="shared" si="8"/>
        <v>3.9188315711722606E-4</v>
      </c>
    </row>
    <row r="67" spans="1:9" s="60" customFormat="1" ht="50.25" customHeight="1" x14ac:dyDescent="0.25">
      <c r="A67" s="29" t="s">
        <v>343</v>
      </c>
      <c r="B67" s="382">
        <v>8204</v>
      </c>
      <c r="C67" s="385" t="s">
        <v>304</v>
      </c>
      <c r="D67" s="519" t="s">
        <v>507</v>
      </c>
      <c r="E67" s="349" t="s">
        <v>2</v>
      </c>
      <c r="F67" s="144">
        <v>1</v>
      </c>
      <c r="G67" s="16">
        <v>1433.03</v>
      </c>
      <c r="H67" s="587">
        <f t="shared" si="11"/>
        <v>1433.03</v>
      </c>
      <c r="I67" s="17">
        <f t="shared" si="8"/>
        <v>2.1187712531360063E-3</v>
      </c>
    </row>
    <row r="68" spans="1:9" s="60" customFormat="1" ht="72" x14ac:dyDescent="0.25">
      <c r="A68" s="29" t="s">
        <v>344</v>
      </c>
      <c r="B68" s="382">
        <v>90844</v>
      </c>
      <c r="C68" s="389" t="s">
        <v>303</v>
      </c>
      <c r="D68" s="520" t="s">
        <v>255</v>
      </c>
      <c r="E68" s="349" t="s">
        <v>2</v>
      </c>
      <c r="F68" s="144">
        <v>3</v>
      </c>
      <c r="G68" s="16">
        <f>G62</f>
        <v>1262.04</v>
      </c>
      <c r="H68" s="587">
        <f t="shared" si="11"/>
        <v>3786.12</v>
      </c>
      <c r="I68" s="17">
        <f t="shared" si="8"/>
        <v>5.5978745852656928E-3</v>
      </c>
    </row>
    <row r="69" spans="1:9" s="60" customFormat="1" ht="18" x14ac:dyDescent="0.25">
      <c r="A69" s="29" t="s">
        <v>345</v>
      </c>
      <c r="B69" s="382">
        <v>1816</v>
      </c>
      <c r="C69" s="386" t="s">
        <v>304</v>
      </c>
      <c r="D69" s="520" t="s">
        <v>444</v>
      </c>
      <c r="E69" s="349" t="s">
        <v>1</v>
      </c>
      <c r="F69" s="144">
        <f>(1.2*0.2)*3</f>
        <v>0.72</v>
      </c>
      <c r="G69" s="16">
        <v>180</v>
      </c>
      <c r="H69" s="587">
        <f t="shared" si="11"/>
        <v>129.6</v>
      </c>
      <c r="I69" s="17">
        <f t="shared" si="8"/>
        <v>1.9161689176529898E-4</v>
      </c>
    </row>
    <row r="70" spans="1:9" s="60" customFormat="1" ht="18" x14ac:dyDescent="0.25">
      <c r="A70" s="29" t="s">
        <v>346</v>
      </c>
      <c r="B70" s="382" t="s">
        <v>164</v>
      </c>
      <c r="C70" s="382" t="s">
        <v>164</v>
      </c>
      <c r="D70" s="519" t="str">
        <f>COMPOSIÇÕES!D116</f>
        <v>PORTA P3-V1 0,90X2,10 ABRIR VISOR , CAIXA ACRILICA PASSA OBJETO E FILTRO T24/T25</v>
      </c>
      <c r="E70" s="349" t="s">
        <v>2</v>
      </c>
      <c r="F70" s="144">
        <v>2</v>
      </c>
      <c r="G70" s="16">
        <f>COMPOSIÇÕES!H124</f>
        <v>2649.268</v>
      </c>
      <c r="H70" s="587">
        <f t="shared" si="11"/>
        <v>5298.5360000000001</v>
      </c>
      <c r="I70" s="17">
        <f t="shared" si="8"/>
        <v>7.8340200557603414E-3</v>
      </c>
    </row>
    <row r="71" spans="1:9" s="60" customFormat="1" ht="18" x14ac:dyDescent="0.25">
      <c r="A71" s="29" t="s">
        <v>347</v>
      </c>
      <c r="B71" s="382">
        <v>1816</v>
      </c>
      <c r="C71" s="382" t="s">
        <v>304</v>
      </c>
      <c r="D71" s="519" t="s">
        <v>514</v>
      </c>
      <c r="E71" s="349" t="s">
        <v>2</v>
      </c>
      <c r="F71" s="144">
        <f>(0.2*1.2)*4</f>
        <v>0.96</v>
      </c>
      <c r="G71" s="16">
        <v>180</v>
      </c>
      <c r="H71" s="587">
        <f t="shared" si="11"/>
        <v>172.79999999999998</v>
      </c>
      <c r="I71" s="17">
        <f t="shared" si="8"/>
        <v>2.5548918902039864E-4</v>
      </c>
    </row>
    <row r="72" spans="1:9" s="60" customFormat="1" ht="18" x14ac:dyDescent="0.25">
      <c r="A72" s="29" t="s">
        <v>348</v>
      </c>
      <c r="B72" s="382" t="s">
        <v>164</v>
      </c>
      <c r="C72" s="382" t="s">
        <v>164</v>
      </c>
      <c r="D72" s="519" t="str">
        <f>COMPOSIÇÕES!D127</f>
        <v>INTALAÇÃO PASS THRU NA ALVENARIA T22</v>
      </c>
      <c r="E72" s="349" t="s">
        <v>2</v>
      </c>
      <c r="F72" s="144">
        <v>2</v>
      </c>
      <c r="G72" s="16">
        <f>COMPOSIÇÕES!H134</f>
        <v>5074.4489899999999</v>
      </c>
      <c r="H72" s="587">
        <f t="shared" si="11"/>
        <v>10148.89798</v>
      </c>
      <c r="I72" s="17">
        <f t="shared" si="8"/>
        <v>1.50054034395889E-2</v>
      </c>
    </row>
    <row r="73" spans="1:9" s="60" customFormat="1" ht="18" x14ac:dyDescent="0.25">
      <c r="A73" s="29" t="s">
        <v>349</v>
      </c>
      <c r="B73" s="382" t="s">
        <v>164</v>
      </c>
      <c r="C73" s="382" t="s">
        <v>164</v>
      </c>
      <c r="D73" s="519" t="str">
        <f>COMPOSIÇÕES!D137</f>
        <v>PORTA P3-V1 0,90X2,10 ABRIR VISOR , CAIXA ACRILICA PASSA OBJETO E FILTRO T20/T15</v>
      </c>
      <c r="E73" s="349" t="s">
        <v>2</v>
      </c>
      <c r="F73" s="144">
        <v>2</v>
      </c>
      <c r="G73" s="16">
        <f>COMPOSIÇÕES!H145</f>
        <v>2649.268</v>
      </c>
      <c r="H73" s="587">
        <f t="shared" si="11"/>
        <v>5298.5360000000001</v>
      </c>
      <c r="I73" s="17">
        <f t="shared" si="8"/>
        <v>7.8340200557603414E-3</v>
      </c>
    </row>
    <row r="74" spans="1:9" s="60" customFormat="1" ht="36" x14ac:dyDescent="0.25">
      <c r="A74" s="29" t="s">
        <v>350</v>
      </c>
      <c r="B74" s="387">
        <v>13135</v>
      </c>
      <c r="C74" s="389" t="s">
        <v>304</v>
      </c>
      <c r="D74" s="522" t="s">
        <v>453</v>
      </c>
      <c r="E74" s="308" t="s">
        <v>1</v>
      </c>
      <c r="F74" s="144">
        <f>(1.65*3.4)*2</f>
        <v>11.219999999999999</v>
      </c>
      <c r="G74" s="367">
        <v>751.22</v>
      </c>
      <c r="H74" s="587">
        <f t="shared" si="11"/>
        <v>8428.6883999999991</v>
      </c>
      <c r="I74" s="17">
        <f t="shared" ref="I74:I105" si="12">H74/$H$222</f>
        <v>1.2462029883227092E-2</v>
      </c>
    </row>
    <row r="75" spans="1:9" s="60" customFormat="1" ht="18" x14ac:dyDescent="0.25">
      <c r="A75" s="29" t="s">
        <v>351</v>
      </c>
      <c r="B75" s="387" t="s">
        <v>164</v>
      </c>
      <c r="C75" s="388" t="s">
        <v>164</v>
      </c>
      <c r="D75" s="519" t="s">
        <v>393</v>
      </c>
      <c r="E75" s="349" t="s">
        <v>1</v>
      </c>
      <c r="F75" s="144">
        <f>1.71*3.22</f>
        <v>5.5062000000000006</v>
      </c>
      <c r="G75" s="307">
        <f>COMPOSIÇÕES!H73</f>
        <v>51.77</v>
      </c>
      <c r="H75" s="587">
        <f t="shared" ref="H75:H77" si="13">G75*F75</f>
        <v>285.05597400000005</v>
      </c>
      <c r="I75" s="17">
        <f t="shared" si="12"/>
        <v>4.2146249781643439E-4</v>
      </c>
    </row>
    <row r="76" spans="1:9" s="60" customFormat="1" ht="18" x14ac:dyDescent="0.25">
      <c r="A76" s="29" t="s">
        <v>352</v>
      </c>
      <c r="B76" s="387">
        <v>1880</v>
      </c>
      <c r="C76" s="388" t="s">
        <v>304</v>
      </c>
      <c r="D76" s="518" t="s">
        <v>280</v>
      </c>
      <c r="E76" s="349" t="s">
        <v>1</v>
      </c>
      <c r="F76" s="144">
        <f>(0.69*2)+(1.11*2)</f>
        <v>3.6</v>
      </c>
      <c r="G76" s="307">
        <v>219.58</v>
      </c>
      <c r="H76" s="587">
        <f t="shared" si="13"/>
        <v>790.48800000000006</v>
      </c>
      <c r="I76" s="17">
        <f t="shared" si="12"/>
        <v>1.1687565859395655E-3</v>
      </c>
    </row>
    <row r="77" spans="1:9" s="60" customFormat="1" ht="18" x14ac:dyDescent="0.25">
      <c r="A77" s="29" t="s">
        <v>353</v>
      </c>
      <c r="B77" s="382" t="s">
        <v>164</v>
      </c>
      <c r="C77" s="385" t="s">
        <v>164</v>
      </c>
      <c r="D77" s="519" t="str">
        <f>COMPOSIÇÕES!D91</f>
        <v>Confecção e instalação de película auto-adesiva, tipo jateada</v>
      </c>
      <c r="E77" s="349" t="s">
        <v>1</v>
      </c>
      <c r="F77" s="144">
        <f>F76</f>
        <v>3.6</v>
      </c>
      <c r="G77" s="307">
        <f>COMPOSIÇÕES!H93</f>
        <v>190</v>
      </c>
      <c r="H77" s="587">
        <f t="shared" si="13"/>
        <v>684</v>
      </c>
      <c r="I77" s="17">
        <f t="shared" si="12"/>
        <v>1.0113113732057447E-3</v>
      </c>
    </row>
    <row r="78" spans="1:9" s="60" customFormat="1" ht="18" x14ac:dyDescent="0.25">
      <c r="A78" s="29" t="s">
        <v>475</v>
      </c>
      <c r="B78" s="382" t="s">
        <v>164</v>
      </c>
      <c r="C78" s="385" t="s">
        <v>164</v>
      </c>
      <c r="D78" s="519" t="s">
        <v>394</v>
      </c>
      <c r="E78" s="349" t="s">
        <v>1</v>
      </c>
      <c r="F78" s="144">
        <f>(1.71*2.16)-F79</f>
        <v>1.4935999999999998</v>
      </c>
      <c r="G78" s="16">
        <f>COMPOSIÇÕES!H73</f>
        <v>51.77</v>
      </c>
      <c r="H78" s="587">
        <f>F78*G78</f>
        <v>77.323672000000002</v>
      </c>
      <c r="I78" s="17">
        <f t="shared" si="12"/>
        <v>1.143250130286997E-4</v>
      </c>
    </row>
    <row r="79" spans="1:9" s="60" customFormat="1" ht="18" x14ac:dyDescent="0.25">
      <c r="A79" s="29" t="s">
        <v>486</v>
      </c>
      <c r="B79" s="382">
        <v>1880</v>
      </c>
      <c r="C79" s="385" t="s">
        <v>304</v>
      </c>
      <c r="D79" s="518" t="s">
        <v>281</v>
      </c>
      <c r="E79" s="349" t="s">
        <v>1</v>
      </c>
      <c r="F79" s="144">
        <f>1.1*2</f>
        <v>2.2000000000000002</v>
      </c>
      <c r="G79" s="16">
        <v>219.58</v>
      </c>
      <c r="H79" s="587">
        <f t="shared" ref="H79:H81" si="14">F79*G79</f>
        <v>483.07600000000008</v>
      </c>
      <c r="I79" s="17">
        <f t="shared" si="12"/>
        <v>7.1424013585195674E-4</v>
      </c>
    </row>
    <row r="80" spans="1:9" s="60" customFormat="1" ht="18" x14ac:dyDescent="0.25">
      <c r="A80" s="29" t="s">
        <v>487</v>
      </c>
      <c r="B80" s="382" t="s">
        <v>164</v>
      </c>
      <c r="C80" s="385" t="s">
        <v>164</v>
      </c>
      <c r="D80" s="519" t="str">
        <f>COMPOSIÇÕES!D91</f>
        <v>Confecção e instalação de película auto-adesiva, tipo jateada</v>
      </c>
      <c r="E80" s="349" t="s">
        <v>1</v>
      </c>
      <c r="F80" s="144">
        <f>F79</f>
        <v>2.2000000000000002</v>
      </c>
      <c r="G80" s="16">
        <f>COMPOSIÇÕES!H93</f>
        <v>190</v>
      </c>
      <c r="H80" s="587">
        <f t="shared" si="14"/>
        <v>418.00000000000006</v>
      </c>
      <c r="I80" s="17">
        <f t="shared" si="12"/>
        <v>6.1802361695906629E-4</v>
      </c>
    </row>
    <row r="81" spans="1:9" s="60" customFormat="1" ht="18" x14ac:dyDescent="0.25">
      <c r="A81" s="29" t="s">
        <v>488</v>
      </c>
      <c r="B81" s="382" t="s">
        <v>164</v>
      </c>
      <c r="C81" s="385" t="s">
        <v>164</v>
      </c>
      <c r="D81" s="519" t="s">
        <v>395</v>
      </c>
      <c r="E81" s="349" t="s">
        <v>1</v>
      </c>
      <c r="F81" s="144">
        <f>(0.9*3.18)*2</f>
        <v>5.7240000000000002</v>
      </c>
      <c r="G81" s="16">
        <f>COMPOSIÇÕES!H73</f>
        <v>51.77</v>
      </c>
      <c r="H81" s="587">
        <f t="shared" si="14"/>
        <v>296.33148000000006</v>
      </c>
      <c r="I81" s="17">
        <f t="shared" si="12"/>
        <v>4.3813361982878764E-4</v>
      </c>
    </row>
    <row r="82" spans="1:9" s="60" customFormat="1" ht="18" x14ac:dyDescent="0.25">
      <c r="A82" s="29" t="s">
        <v>489</v>
      </c>
      <c r="B82" s="382">
        <v>1880</v>
      </c>
      <c r="C82" s="385" t="s">
        <v>304</v>
      </c>
      <c r="D82" s="518" t="s">
        <v>282</v>
      </c>
      <c r="E82" s="349" t="s">
        <v>1</v>
      </c>
      <c r="F82" s="144">
        <f>(0.63*2)+(0.73*2)</f>
        <v>2.7199999999999998</v>
      </c>
      <c r="G82" s="365">
        <v>219.58</v>
      </c>
      <c r="H82" s="587">
        <f t="shared" ref="H82:H84" si="15">F82*G82</f>
        <v>597.25760000000002</v>
      </c>
      <c r="I82" s="17">
        <f t="shared" si="12"/>
        <v>8.8306053159878275E-4</v>
      </c>
    </row>
    <row r="83" spans="1:9" s="60" customFormat="1" ht="18" x14ac:dyDescent="0.25">
      <c r="A83" s="29" t="s">
        <v>490</v>
      </c>
      <c r="B83" s="382" t="s">
        <v>164</v>
      </c>
      <c r="C83" s="385" t="s">
        <v>164</v>
      </c>
      <c r="D83" s="519" t="str">
        <f>COMPOSIÇÕES!D91</f>
        <v>Confecção e instalação de película auto-adesiva, tipo jateada</v>
      </c>
      <c r="E83" s="349" t="s">
        <v>1</v>
      </c>
      <c r="F83" s="144">
        <f>F82</f>
        <v>2.7199999999999998</v>
      </c>
      <c r="G83" s="365">
        <f>COMPOSIÇÕES!H93</f>
        <v>190</v>
      </c>
      <c r="H83" s="587">
        <f t="shared" si="15"/>
        <v>516.79999999999995</v>
      </c>
      <c r="I83" s="17">
        <f t="shared" si="12"/>
        <v>7.6410192642211816E-4</v>
      </c>
    </row>
    <row r="84" spans="1:9" s="60" customFormat="1" ht="18" x14ac:dyDescent="0.25">
      <c r="A84" s="29" t="s">
        <v>491</v>
      </c>
      <c r="B84" s="382" t="s">
        <v>164</v>
      </c>
      <c r="C84" s="385" t="s">
        <v>164</v>
      </c>
      <c r="D84" s="519" t="s">
        <v>396</v>
      </c>
      <c r="E84" s="349" t="s">
        <v>1</v>
      </c>
      <c r="F84" s="144">
        <f>(0.9*2.1)*2</f>
        <v>3.7800000000000002</v>
      </c>
      <c r="G84" s="365">
        <f>COMPOSIÇÕES!H73</f>
        <v>51.77</v>
      </c>
      <c r="H84" s="587">
        <f t="shared" si="15"/>
        <v>195.69060000000002</v>
      </c>
      <c r="I84" s="17">
        <f t="shared" si="12"/>
        <v>2.8933352252844463E-4</v>
      </c>
    </row>
    <row r="85" spans="1:9" s="60" customFormat="1" ht="18" x14ac:dyDescent="0.25">
      <c r="A85" s="29" t="s">
        <v>492</v>
      </c>
      <c r="B85" s="382">
        <v>1880</v>
      </c>
      <c r="C85" s="385" t="s">
        <v>304</v>
      </c>
      <c r="D85" s="519" t="s">
        <v>445</v>
      </c>
      <c r="E85" s="349" t="s">
        <v>1</v>
      </c>
      <c r="F85" s="144">
        <f>(0.74*3)*2</f>
        <v>4.4399999999999995</v>
      </c>
      <c r="G85" s="365">
        <v>219.58</v>
      </c>
      <c r="H85" s="587">
        <f t="shared" ref="H85" si="16">F85*G85</f>
        <v>974.9351999999999</v>
      </c>
      <c r="I85" s="17">
        <f t="shared" si="12"/>
        <v>1.4414664559921305E-3</v>
      </c>
    </row>
    <row r="86" spans="1:9" s="60" customFormat="1" ht="55.5" customHeight="1" x14ac:dyDescent="0.25">
      <c r="A86" s="29" t="s">
        <v>493</v>
      </c>
      <c r="B86" s="387">
        <v>11947</v>
      </c>
      <c r="C86" s="388" t="s">
        <v>304</v>
      </c>
      <c r="D86" s="518" t="s">
        <v>446</v>
      </c>
      <c r="E86" s="349" t="s">
        <v>1</v>
      </c>
      <c r="F86" s="144">
        <f>2*2.1</f>
        <v>4.2</v>
      </c>
      <c r="G86" s="307">
        <v>313.01</v>
      </c>
      <c r="H86" s="587">
        <f t="shared" ref="H86:H101" si="17">F86*G86</f>
        <v>1314.6420000000001</v>
      </c>
      <c r="I86" s="17">
        <f t="shared" si="12"/>
        <v>1.9437315881490448E-3</v>
      </c>
    </row>
    <row r="87" spans="1:9" s="60" customFormat="1" ht="18" x14ac:dyDescent="0.25">
      <c r="A87" s="29" t="s">
        <v>494</v>
      </c>
      <c r="B87" s="387" t="s">
        <v>164</v>
      </c>
      <c r="C87" s="388" t="s">
        <v>164</v>
      </c>
      <c r="D87" s="518" t="str">
        <f>COMPOSIÇÕES!D84</f>
        <v>VIDRO CANELADO 6MM</v>
      </c>
      <c r="E87" s="349" t="s">
        <v>1</v>
      </c>
      <c r="F87" s="144">
        <f>0.82*2</f>
        <v>1.64</v>
      </c>
      <c r="G87" s="307">
        <f>COMPOSIÇÕES!H88</f>
        <v>76.448000000000008</v>
      </c>
      <c r="H87" s="587">
        <f>F87*G87</f>
        <v>125.37472000000001</v>
      </c>
      <c r="I87" s="17">
        <f t="shared" si="12"/>
        <v>1.8536970796562244E-4</v>
      </c>
    </row>
    <row r="88" spans="1:9" s="60" customFormat="1" ht="36" x14ac:dyDescent="0.25">
      <c r="A88" s="29" t="s">
        <v>495</v>
      </c>
      <c r="B88" s="387">
        <v>12065</v>
      </c>
      <c r="C88" s="388" t="s">
        <v>304</v>
      </c>
      <c r="D88" s="518" t="s">
        <v>451</v>
      </c>
      <c r="E88" s="349" t="s">
        <v>2</v>
      </c>
      <c r="F88" s="144">
        <v>1</v>
      </c>
      <c r="G88" s="307">
        <v>1299.68</v>
      </c>
      <c r="H88" s="587">
        <f>G88*F88</f>
        <v>1299.68</v>
      </c>
      <c r="I88" s="17">
        <f t="shared" si="12"/>
        <v>1.921609891122869E-3</v>
      </c>
    </row>
    <row r="89" spans="1:9" s="60" customFormat="1" ht="45" customHeight="1" x14ac:dyDescent="0.25">
      <c r="A89" s="29" t="s">
        <v>513</v>
      </c>
      <c r="B89" s="382" t="s">
        <v>164</v>
      </c>
      <c r="C89" s="388" t="s">
        <v>164</v>
      </c>
      <c r="D89" s="652" t="s">
        <v>542</v>
      </c>
      <c r="E89" s="349" t="s">
        <v>1</v>
      </c>
      <c r="F89" s="144">
        <f>(1*2.15)-(0.71*0.85+0.71*0.68)</f>
        <v>1.0636999999999999</v>
      </c>
      <c r="G89" s="16">
        <f>COMPOSIÇÕES!$H$73</f>
        <v>51.77</v>
      </c>
      <c r="H89" s="587">
        <f t="shared" ref="H89:H92" si="18">F89*G89</f>
        <v>55.067748999999999</v>
      </c>
      <c r="I89" s="17">
        <f t="shared" si="12"/>
        <v>8.1419065585583731E-5</v>
      </c>
    </row>
    <row r="90" spans="1:9" s="60" customFormat="1" ht="30" customHeight="1" x14ac:dyDescent="0.25">
      <c r="A90" s="29" t="s">
        <v>568</v>
      </c>
      <c r="B90" s="382">
        <v>1880</v>
      </c>
      <c r="C90" s="382" t="s">
        <v>304</v>
      </c>
      <c r="D90" s="653" t="s">
        <v>541</v>
      </c>
      <c r="E90" s="349" t="s">
        <v>1</v>
      </c>
      <c r="F90" s="144">
        <f>0.71*0.87+0.71*0.7</f>
        <v>1.1146999999999998</v>
      </c>
      <c r="G90" s="16">
        <v>219.58</v>
      </c>
      <c r="H90" s="587">
        <f t="shared" si="18"/>
        <v>244.76582599999998</v>
      </c>
      <c r="I90" s="17">
        <f t="shared" si="12"/>
        <v>3.6189249065189818E-4</v>
      </c>
    </row>
    <row r="91" spans="1:9" s="60" customFormat="1" ht="33" customHeight="1" x14ac:dyDescent="0.25">
      <c r="A91" s="29" t="s">
        <v>569</v>
      </c>
      <c r="B91" s="379" t="s">
        <v>305</v>
      </c>
      <c r="C91" s="384" t="s">
        <v>304</v>
      </c>
      <c r="D91" s="358" t="s">
        <v>540</v>
      </c>
      <c r="E91" s="349" t="s">
        <v>1</v>
      </c>
      <c r="F91" s="144">
        <f>1*1.03</f>
        <v>1.03</v>
      </c>
      <c r="G91" s="16">
        <v>536.13</v>
      </c>
      <c r="H91" s="587">
        <f t="shared" si="18"/>
        <v>552.21389999999997</v>
      </c>
      <c r="I91" s="17">
        <f t="shared" si="12"/>
        <v>8.1646227706476577E-4</v>
      </c>
    </row>
    <row r="92" spans="1:9" s="60" customFormat="1" ht="30.75" customHeight="1" x14ac:dyDescent="0.25">
      <c r="A92" s="29" t="s">
        <v>570</v>
      </c>
      <c r="B92" s="379" t="s">
        <v>306</v>
      </c>
      <c r="C92" s="384" t="s">
        <v>304</v>
      </c>
      <c r="D92" s="358" t="s">
        <v>543</v>
      </c>
      <c r="E92" s="349" t="s">
        <v>1</v>
      </c>
      <c r="F92" s="144">
        <f>F91</f>
        <v>1.03</v>
      </c>
      <c r="G92" s="16">
        <v>155</v>
      </c>
      <c r="H92" s="587">
        <f t="shared" si="18"/>
        <v>159.65</v>
      </c>
      <c r="I92" s="17">
        <f t="shared" si="12"/>
        <v>2.3604658001797829E-4</v>
      </c>
    </row>
    <row r="93" spans="1:9" s="60" customFormat="1" ht="36" x14ac:dyDescent="0.25">
      <c r="A93" s="29" t="s">
        <v>571</v>
      </c>
      <c r="B93" s="382">
        <v>11944</v>
      </c>
      <c r="C93" s="382" t="s">
        <v>304</v>
      </c>
      <c r="D93" s="652" t="s">
        <v>454</v>
      </c>
      <c r="E93" s="349" t="s">
        <v>1</v>
      </c>
      <c r="F93" s="144">
        <f>0.8*1.2*5</f>
        <v>4.8</v>
      </c>
      <c r="G93" s="16">
        <v>293.01</v>
      </c>
      <c r="H93" s="587">
        <f>F93*G93</f>
        <v>1406.4479999999999</v>
      </c>
      <c r="I93" s="17">
        <f t="shared" si="12"/>
        <v>2.0794690909685279E-3</v>
      </c>
    </row>
    <row r="94" spans="1:9" s="60" customFormat="1" ht="18" customHeight="1" x14ac:dyDescent="0.25">
      <c r="A94" s="29" t="s">
        <v>572</v>
      </c>
      <c r="B94" s="382">
        <v>1878</v>
      </c>
      <c r="C94" s="382" t="s">
        <v>304</v>
      </c>
      <c r="D94" s="653" t="s">
        <v>256</v>
      </c>
      <c r="E94" s="349" t="s">
        <v>1</v>
      </c>
      <c r="F94" s="144">
        <f>((0.61*0.46)+ (0.58*0.49))*5</f>
        <v>2.8239999999999998</v>
      </c>
      <c r="G94" s="16">
        <v>155</v>
      </c>
      <c r="H94" s="587">
        <f t="shared" si="17"/>
        <v>437.71999999999997</v>
      </c>
      <c r="I94" s="17">
        <f t="shared" si="12"/>
        <v>6.4718013783569958E-4</v>
      </c>
    </row>
    <row r="95" spans="1:9" s="60" customFormat="1" ht="36" x14ac:dyDescent="0.25">
      <c r="A95" s="29" t="s">
        <v>573</v>
      </c>
      <c r="B95" s="382">
        <v>100674</v>
      </c>
      <c r="C95" s="382" t="s">
        <v>303</v>
      </c>
      <c r="D95" s="518" t="s">
        <v>283</v>
      </c>
      <c r="E95" s="349" t="s">
        <v>1</v>
      </c>
      <c r="F95" s="144">
        <f>1.1*1.8*2</f>
        <v>3.9600000000000004</v>
      </c>
      <c r="G95" s="365">
        <v>464.55</v>
      </c>
      <c r="H95" s="587">
        <f t="shared" si="17"/>
        <v>1839.6180000000002</v>
      </c>
      <c r="I95" s="17">
        <f t="shared" si="12"/>
        <v>2.7199219382368508E-3</v>
      </c>
    </row>
    <row r="96" spans="1:9" s="60" customFormat="1" ht="39" customHeight="1" x14ac:dyDescent="0.25">
      <c r="A96" s="29" t="s">
        <v>574</v>
      </c>
      <c r="B96" s="382">
        <v>102179</v>
      </c>
      <c r="C96" s="382" t="s">
        <v>303</v>
      </c>
      <c r="D96" s="519" t="s">
        <v>336</v>
      </c>
      <c r="E96" s="349" t="s">
        <v>1</v>
      </c>
      <c r="F96" s="144">
        <f>F95</f>
        <v>3.9600000000000004</v>
      </c>
      <c r="G96" s="365">
        <v>422.74</v>
      </c>
      <c r="H96" s="587">
        <f t="shared" si="17"/>
        <v>1674.0504000000003</v>
      </c>
      <c r="I96" s="17">
        <f t="shared" si="12"/>
        <v>2.4751260363152436E-3</v>
      </c>
    </row>
    <row r="97" spans="1:12" s="60" customFormat="1" ht="36" x14ac:dyDescent="0.25">
      <c r="A97" s="29" t="s">
        <v>575</v>
      </c>
      <c r="B97" s="382">
        <v>100674</v>
      </c>
      <c r="C97" s="382" t="s">
        <v>303</v>
      </c>
      <c r="D97" s="518" t="s">
        <v>284</v>
      </c>
      <c r="E97" s="349" t="s">
        <v>1</v>
      </c>
      <c r="F97" s="144">
        <f>2*1.2</f>
        <v>2.4</v>
      </c>
      <c r="G97" s="16">
        <f>G95</f>
        <v>464.55</v>
      </c>
      <c r="H97" s="587">
        <f t="shared" si="17"/>
        <v>1114.92</v>
      </c>
      <c r="I97" s="17">
        <f t="shared" si="12"/>
        <v>1.6484375383253639E-3</v>
      </c>
    </row>
    <row r="98" spans="1:12" s="60" customFormat="1" ht="36" x14ac:dyDescent="0.25">
      <c r="A98" s="29" t="s">
        <v>576</v>
      </c>
      <c r="B98" s="382">
        <v>102179</v>
      </c>
      <c r="C98" s="382" t="s">
        <v>303</v>
      </c>
      <c r="D98" s="519" t="s">
        <v>455</v>
      </c>
      <c r="E98" s="349" t="s">
        <v>1</v>
      </c>
      <c r="F98" s="144">
        <f>F97</f>
        <v>2.4</v>
      </c>
      <c r="G98" s="16">
        <v>422.74</v>
      </c>
      <c r="H98" s="587">
        <f t="shared" si="17"/>
        <v>1014.576</v>
      </c>
      <c r="I98" s="17">
        <f t="shared" si="12"/>
        <v>1.5000763856456018E-3</v>
      </c>
    </row>
    <row r="99" spans="1:12" s="60" customFormat="1" ht="36" x14ac:dyDescent="0.25">
      <c r="A99" s="29" t="s">
        <v>577</v>
      </c>
      <c r="B99" s="382">
        <v>100674</v>
      </c>
      <c r="C99" s="382" t="s">
        <v>303</v>
      </c>
      <c r="D99" s="518" t="s">
        <v>285</v>
      </c>
      <c r="E99" s="349" t="s">
        <v>1</v>
      </c>
      <c r="F99" s="144">
        <f>0.9*1.8*2</f>
        <v>3.24</v>
      </c>
      <c r="G99" s="16">
        <f>G97</f>
        <v>464.55</v>
      </c>
      <c r="H99" s="587">
        <f t="shared" si="17"/>
        <v>1505.1420000000001</v>
      </c>
      <c r="I99" s="17">
        <f t="shared" si="12"/>
        <v>2.2253906767392413E-3</v>
      </c>
    </row>
    <row r="100" spans="1:12" s="60" customFormat="1" ht="36" x14ac:dyDescent="0.25">
      <c r="A100" s="29" t="s">
        <v>578</v>
      </c>
      <c r="B100" s="382">
        <v>102179</v>
      </c>
      <c r="C100" s="382" t="s">
        <v>303</v>
      </c>
      <c r="D100" s="517" t="s">
        <v>335</v>
      </c>
      <c r="E100" s="349" t="s">
        <v>1</v>
      </c>
      <c r="F100" s="144">
        <f>F99</f>
        <v>3.24</v>
      </c>
      <c r="G100" s="16">
        <f>G98</f>
        <v>422.74</v>
      </c>
      <c r="H100" s="587">
        <f t="shared" si="17"/>
        <v>1369.6776000000002</v>
      </c>
      <c r="I100" s="17">
        <f t="shared" si="12"/>
        <v>2.025103120621563E-3</v>
      </c>
    </row>
    <row r="101" spans="1:12" s="60" customFormat="1" ht="54" x14ac:dyDescent="0.25">
      <c r="A101" s="29" t="s">
        <v>579</v>
      </c>
      <c r="B101" s="382">
        <v>94570</v>
      </c>
      <c r="C101" s="386" t="s">
        <v>303</v>
      </c>
      <c r="D101" s="520" t="s">
        <v>286</v>
      </c>
      <c r="E101" s="349" t="s">
        <v>1</v>
      </c>
      <c r="F101" s="144">
        <f>0.9*0.9</f>
        <v>0.81</v>
      </c>
      <c r="G101" s="365">
        <v>214.27</v>
      </c>
      <c r="H101" s="587">
        <f t="shared" si="17"/>
        <v>173.55870000000002</v>
      </c>
      <c r="I101" s="17">
        <f t="shared" si="12"/>
        <v>2.5661094624094139E-4</v>
      </c>
    </row>
    <row r="102" spans="1:12" s="60" customFormat="1" ht="18" x14ac:dyDescent="0.25">
      <c r="A102" s="29" t="s">
        <v>580</v>
      </c>
      <c r="B102" s="382">
        <v>1878</v>
      </c>
      <c r="C102" s="386" t="s">
        <v>304</v>
      </c>
      <c r="D102" s="520" t="s">
        <v>463</v>
      </c>
      <c r="E102" s="349" t="s">
        <v>1</v>
      </c>
      <c r="F102" s="144">
        <f>0.32*0.74*2</f>
        <v>0.47360000000000002</v>
      </c>
      <c r="G102" s="365">
        <v>155</v>
      </c>
      <c r="H102" s="587">
        <f t="shared" ref="H102:H105" si="19">F102*G102</f>
        <v>73.408000000000001</v>
      </c>
      <c r="I102" s="17">
        <f t="shared" si="12"/>
        <v>1.0853559252088788E-4</v>
      </c>
      <c r="L102" s="541"/>
    </row>
    <row r="103" spans="1:12" s="60" customFormat="1" ht="18" x14ac:dyDescent="0.25">
      <c r="A103" s="29" t="s">
        <v>581</v>
      </c>
      <c r="B103" s="382">
        <v>1841</v>
      </c>
      <c r="C103" s="386" t="s">
        <v>304</v>
      </c>
      <c r="D103" s="517" t="s">
        <v>464</v>
      </c>
      <c r="E103" s="349" t="s">
        <v>1</v>
      </c>
      <c r="F103" s="144">
        <f>2.93*1.03</f>
        <v>3.0179</v>
      </c>
      <c r="G103" s="365">
        <v>119.81</v>
      </c>
      <c r="H103" s="587">
        <f t="shared" si="19"/>
        <v>361.57459900000003</v>
      </c>
      <c r="I103" s="17">
        <f t="shared" si="12"/>
        <v>5.3459722840790429E-4</v>
      </c>
    </row>
    <row r="104" spans="1:12" s="60" customFormat="1" ht="33" customHeight="1" x14ac:dyDescent="0.25">
      <c r="A104" s="29" t="s">
        <v>582</v>
      </c>
      <c r="B104" s="382">
        <v>102179</v>
      </c>
      <c r="C104" s="386" t="s">
        <v>303</v>
      </c>
      <c r="D104" s="517" t="s">
        <v>465</v>
      </c>
      <c r="E104" s="349" t="s">
        <v>1</v>
      </c>
      <c r="F104" s="144">
        <f>(0.84*0.88)*3</f>
        <v>2.2176</v>
      </c>
      <c r="G104" s="365">
        <f>G100</f>
        <v>422.74</v>
      </c>
      <c r="H104" s="587">
        <f t="shared" si="19"/>
        <v>937.46822400000008</v>
      </c>
      <c r="I104" s="17">
        <f t="shared" si="12"/>
        <v>1.3860705803365361E-3</v>
      </c>
    </row>
    <row r="105" spans="1:12" s="60" customFormat="1" ht="18" customHeight="1" x14ac:dyDescent="0.25">
      <c r="A105" s="29" t="s">
        <v>583</v>
      </c>
      <c r="B105" s="382" t="s">
        <v>164</v>
      </c>
      <c r="C105" s="386" t="s">
        <v>164</v>
      </c>
      <c r="D105" s="517" t="s">
        <v>392</v>
      </c>
      <c r="E105" s="349" t="s">
        <v>1</v>
      </c>
      <c r="F105" s="144">
        <f>(1.19*2.13*5)-F106</f>
        <v>4.589500000000001</v>
      </c>
      <c r="G105" s="365">
        <f>COMPOSIÇÕES!H81</f>
        <v>51.77</v>
      </c>
      <c r="H105" s="587">
        <f t="shared" si="19"/>
        <v>237.59841500000007</v>
      </c>
      <c r="I105" s="17">
        <f t="shared" si="12"/>
        <v>3.512952914402902E-4</v>
      </c>
    </row>
    <row r="106" spans="1:12" s="60" customFormat="1" ht="18" customHeight="1" x14ac:dyDescent="0.25">
      <c r="A106" s="29" t="s">
        <v>584</v>
      </c>
      <c r="B106" s="382">
        <v>102179</v>
      </c>
      <c r="C106" s="385" t="s">
        <v>303</v>
      </c>
      <c r="D106" s="517" t="s">
        <v>337</v>
      </c>
      <c r="E106" s="349" t="s">
        <v>1</v>
      </c>
      <c r="F106" s="144">
        <f>((0.94*0.86)*2)*5</f>
        <v>8.0839999999999996</v>
      </c>
      <c r="G106" s="365">
        <f>G104</f>
        <v>422.74</v>
      </c>
      <c r="H106" s="587">
        <f t="shared" ref="H106:H108" si="20">F106*G106</f>
        <v>3417.4301599999999</v>
      </c>
      <c r="I106" s="17">
        <f t="shared" ref="I106:I137" si="21">H106/$H$222</f>
        <v>5.052757292316269E-3</v>
      </c>
    </row>
    <row r="107" spans="1:12" s="60" customFormat="1" ht="18" x14ac:dyDescent="0.25">
      <c r="A107" s="29" t="s">
        <v>585</v>
      </c>
      <c r="B107" s="382" t="s">
        <v>164</v>
      </c>
      <c r="C107" s="386" t="s">
        <v>164</v>
      </c>
      <c r="D107" s="517" t="str">
        <f>COMPOSIÇÕES!D91</f>
        <v>Confecção e instalação de película auto-adesiva, tipo jateada</v>
      </c>
      <c r="E107" s="349" t="s">
        <v>1</v>
      </c>
      <c r="F107" s="144">
        <f>F106</f>
        <v>8.0839999999999996</v>
      </c>
      <c r="G107" s="365">
        <f>COMPOSIÇÕES!H93</f>
        <v>190</v>
      </c>
      <c r="H107" s="587">
        <f t="shared" si="20"/>
        <v>1535.96</v>
      </c>
      <c r="I107" s="17">
        <f t="shared" si="21"/>
        <v>2.2709558724986778E-3</v>
      </c>
    </row>
    <row r="108" spans="1:12" s="60" customFormat="1" ht="18" x14ac:dyDescent="0.25">
      <c r="A108" s="29" t="s">
        <v>586</v>
      </c>
      <c r="B108" s="382" t="s">
        <v>164</v>
      </c>
      <c r="C108" s="386" t="s">
        <v>164</v>
      </c>
      <c r="D108" s="517" t="s">
        <v>391</v>
      </c>
      <c r="E108" s="349" t="s">
        <v>1</v>
      </c>
      <c r="F108" s="144">
        <f>(2.21*2.13)-F109</f>
        <v>1.3985000000000003</v>
      </c>
      <c r="G108" s="365">
        <f>COMPOSIÇÕES!H81</f>
        <v>51.77</v>
      </c>
      <c r="H108" s="587">
        <f t="shared" si="20"/>
        <v>72.400345000000016</v>
      </c>
      <c r="I108" s="17">
        <f t="shared" si="21"/>
        <v>1.0704574900953171E-4</v>
      </c>
    </row>
    <row r="109" spans="1:12" s="60" customFormat="1" ht="38.25" customHeight="1" x14ac:dyDescent="0.25">
      <c r="A109" s="29" t="s">
        <v>587</v>
      </c>
      <c r="B109" s="382">
        <v>102179</v>
      </c>
      <c r="C109" s="385" t="s">
        <v>303</v>
      </c>
      <c r="D109" s="517" t="s">
        <v>456</v>
      </c>
      <c r="E109" s="349" t="s">
        <v>1</v>
      </c>
      <c r="F109" s="144">
        <f>(0.94*0.88)*4</f>
        <v>3.3087999999999997</v>
      </c>
      <c r="G109" s="365">
        <f>G106</f>
        <v>422.74</v>
      </c>
      <c r="H109" s="587">
        <f t="shared" ref="H109:H112" si="22">F109*G109</f>
        <v>1398.7621119999999</v>
      </c>
      <c r="I109" s="17">
        <f t="shared" si="21"/>
        <v>2.0681053103434027E-3</v>
      </c>
    </row>
    <row r="110" spans="1:12" s="60" customFormat="1" ht="18" x14ac:dyDescent="0.25">
      <c r="A110" s="29" t="s">
        <v>588</v>
      </c>
      <c r="B110" s="382">
        <v>1841</v>
      </c>
      <c r="C110" s="386" t="s">
        <v>304</v>
      </c>
      <c r="D110" s="517" t="s">
        <v>289</v>
      </c>
      <c r="E110" s="349" t="s">
        <v>1</v>
      </c>
      <c r="F110" s="144">
        <f>(7.63*1.2)-F111</f>
        <v>2.4338999999999986</v>
      </c>
      <c r="G110" s="365">
        <v>119.81</v>
      </c>
      <c r="H110" s="587">
        <f t="shared" si="22"/>
        <v>291.60555899999986</v>
      </c>
      <c r="I110" s="17">
        <f t="shared" si="21"/>
        <v>4.3114622559461795E-4</v>
      </c>
    </row>
    <row r="111" spans="1:12" s="60" customFormat="1" ht="18" x14ac:dyDescent="0.25">
      <c r="A111" s="29" t="s">
        <v>589</v>
      </c>
      <c r="B111" s="382">
        <v>1878</v>
      </c>
      <c r="C111" s="386" t="s">
        <v>304</v>
      </c>
      <c r="D111" s="517" t="s">
        <v>457</v>
      </c>
      <c r="E111" s="349" t="s">
        <v>1</v>
      </c>
      <c r="F111" s="144">
        <f>(0.97*0.33)*21</f>
        <v>6.7221000000000002</v>
      </c>
      <c r="G111" s="365">
        <v>155</v>
      </c>
      <c r="H111" s="587">
        <f t="shared" si="22"/>
        <v>1041.9255000000001</v>
      </c>
      <c r="I111" s="17">
        <f t="shared" si="21"/>
        <v>1.5405133160571378E-3</v>
      </c>
    </row>
    <row r="112" spans="1:12" s="60" customFormat="1" ht="18" x14ac:dyDescent="0.25">
      <c r="A112" s="29" t="s">
        <v>590</v>
      </c>
      <c r="B112" s="382" t="s">
        <v>164</v>
      </c>
      <c r="C112" s="386" t="s">
        <v>164</v>
      </c>
      <c r="D112" s="517" t="str">
        <f>COMPOSIÇÕES!D151</f>
        <v>RECUPERAÇÃO DE GRADIL</v>
      </c>
      <c r="E112" s="349" t="s">
        <v>1</v>
      </c>
      <c r="F112" s="144">
        <f>7.63*1.02</f>
        <v>7.7826000000000004</v>
      </c>
      <c r="G112" s="365">
        <f>COMPOSIÇÕES!H155</f>
        <v>64.438522000000006</v>
      </c>
      <c r="H112" s="587">
        <f t="shared" si="22"/>
        <v>501.49924131720007</v>
      </c>
      <c r="I112" s="17">
        <f t="shared" si="21"/>
        <v>7.4147936607914732E-4</v>
      </c>
    </row>
    <row r="113" spans="1:11" s="60" customFormat="1" ht="18" x14ac:dyDescent="0.25">
      <c r="A113" s="29" t="s">
        <v>591</v>
      </c>
      <c r="B113" s="382">
        <v>1841</v>
      </c>
      <c r="C113" s="386" t="s">
        <v>304</v>
      </c>
      <c r="D113" s="517" t="s">
        <v>290</v>
      </c>
      <c r="E113" s="349" t="s">
        <v>1</v>
      </c>
      <c r="F113" s="144">
        <f>(4.34*1.2)-F114</f>
        <v>1.3667999999999996</v>
      </c>
      <c r="G113" s="365">
        <v>119.81</v>
      </c>
      <c r="H113" s="587">
        <f t="shared" ref="H113:H115" si="23">F113*G113</f>
        <v>163.75630799999996</v>
      </c>
      <c r="I113" s="17">
        <f t="shared" si="21"/>
        <v>2.4211786069383456E-4</v>
      </c>
    </row>
    <row r="114" spans="1:11" s="60" customFormat="1" ht="18" x14ac:dyDescent="0.25">
      <c r="A114" s="29" t="s">
        <v>592</v>
      </c>
      <c r="B114" s="382">
        <v>1878</v>
      </c>
      <c r="C114" s="389" t="s">
        <v>304</v>
      </c>
      <c r="D114" s="517" t="s">
        <v>459</v>
      </c>
      <c r="E114" s="349" t="s">
        <v>1</v>
      </c>
      <c r="F114" s="144">
        <f>(0.97*0.33)*12</f>
        <v>3.8411999999999997</v>
      </c>
      <c r="G114" s="365">
        <v>155</v>
      </c>
      <c r="H114" s="587">
        <f t="shared" si="23"/>
        <v>595.38599999999997</v>
      </c>
      <c r="I114" s="17">
        <f t="shared" si="21"/>
        <v>8.8029332346122144E-4</v>
      </c>
    </row>
    <row r="115" spans="1:11" s="60" customFormat="1" ht="18" x14ac:dyDescent="0.25">
      <c r="A115" s="29" t="s">
        <v>593</v>
      </c>
      <c r="B115" s="382" t="s">
        <v>164</v>
      </c>
      <c r="C115" s="389" t="s">
        <v>164</v>
      </c>
      <c r="D115" s="517" t="str">
        <f>COMPOSIÇÕES!D151</f>
        <v>RECUPERAÇÃO DE GRADIL</v>
      </c>
      <c r="E115" s="349" t="s">
        <v>1</v>
      </c>
      <c r="F115" s="144">
        <f>4.34*1.2</f>
        <v>5.2079999999999993</v>
      </c>
      <c r="G115" s="365">
        <f>COMPOSIÇÕES!H155</f>
        <v>64.438522000000006</v>
      </c>
      <c r="H115" s="587">
        <f t="shared" si="23"/>
        <v>335.59582257599999</v>
      </c>
      <c r="I115" s="17">
        <f t="shared" si="21"/>
        <v>4.9618694761907308E-4</v>
      </c>
    </row>
    <row r="116" spans="1:11" s="60" customFormat="1" ht="18" x14ac:dyDescent="0.25">
      <c r="A116" s="29" t="s">
        <v>594</v>
      </c>
      <c r="B116" s="382">
        <v>1841</v>
      </c>
      <c r="C116" s="389" t="s">
        <v>304</v>
      </c>
      <c r="D116" s="517" t="s">
        <v>291</v>
      </c>
      <c r="E116" s="349" t="s">
        <v>1</v>
      </c>
      <c r="F116" s="144">
        <f>(9.8*1.2)-F117</f>
        <v>3.1173000000000002</v>
      </c>
      <c r="G116" s="365">
        <v>119.81</v>
      </c>
      <c r="H116" s="587">
        <f t="shared" ref="H116:H118" si="24">F116*G116</f>
        <v>373.48371300000002</v>
      </c>
      <c r="I116" s="17">
        <f t="shared" si="21"/>
        <v>5.5220515594153546E-4</v>
      </c>
    </row>
    <row r="117" spans="1:11" s="60" customFormat="1" ht="18" x14ac:dyDescent="0.25">
      <c r="A117" s="29" t="s">
        <v>595</v>
      </c>
      <c r="B117" s="382">
        <v>1878</v>
      </c>
      <c r="C117" s="389" t="s">
        <v>304</v>
      </c>
      <c r="D117" s="517" t="s">
        <v>458</v>
      </c>
      <c r="E117" s="349" t="s">
        <v>1</v>
      </c>
      <c r="F117" s="144">
        <f>(0.97*0.33)*27</f>
        <v>8.6426999999999996</v>
      </c>
      <c r="G117" s="365">
        <v>155</v>
      </c>
      <c r="H117" s="587">
        <f t="shared" si="24"/>
        <v>1339.6185</v>
      </c>
      <c r="I117" s="17">
        <f t="shared" si="21"/>
        <v>1.9806599777877484E-3</v>
      </c>
    </row>
    <row r="118" spans="1:11" s="60" customFormat="1" ht="18" x14ac:dyDescent="0.25">
      <c r="A118" s="29" t="s">
        <v>596</v>
      </c>
      <c r="B118" s="382" t="s">
        <v>164</v>
      </c>
      <c r="C118" s="389" t="s">
        <v>164</v>
      </c>
      <c r="D118" s="517" t="str">
        <f>COMPOSIÇÕES!D151</f>
        <v>RECUPERAÇÃO DE GRADIL</v>
      </c>
      <c r="E118" s="349" t="s">
        <v>1</v>
      </c>
      <c r="F118" s="144">
        <f>10.65*1.2</f>
        <v>12.78</v>
      </c>
      <c r="G118" s="365">
        <f>COMPOSIÇÕES!H155</f>
        <v>64.438522000000006</v>
      </c>
      <c r="H118" s="587">
        <f t="shared" si="24"/>
        <v>823.52431116000002</v>
      </c>
      <c r="I118" s="17">
        <f t="shared" si="21"/>
        <v>1.2176016110928868E-3</v>
      </c>
    </row>
    <row r="119" spans="1:11" s="60" customFormat="1" ht="18" x14ac:dyDescent="0.25">
      <c r="A119" s="29" t="s">
        <v>597</v>
      </c>
      <c r="B119" s="382">
        <v>1841</v>
      </c>
      <c r="C119" s="389" t="s">
        <v>304</v>
      </c>
      <c r="D119" s="517" t="s">
        <v>295</v>
      </c>
      <c r="E119" s="349" t="s">
        <v>1</v>
      </c>
      <c r="F119" s="144">
        <f>(2*0.96*5)-F120</f>
        <v>8</v>
      </c>
      <c r="G119" s="365">
        <v>119.81</v>
      </c>
      <c r="H119" s="587">
        <f t="shared" ref="H119:H122" si="25">F119*G119</f>
        <v>958.48</v>
      </c>
      <c r="I119" s="17">
        <f t="shared" si="21"/>
        <v>1.4171370248395353E-3</v>
      </c>
    </row>
    <row r="120" spans="1:11" s="60" customFormat="1" ht="18" x14ac:dyDescent="0.25">
      <c r="A120" s="29" t="s">
        <v>598</v>
      </c>
      <c r="B120" s="382">
        <v>1880</v>
      </c>
      <c r="C120" s="389" t="s">
        <v>304</v>
      </c>
      <c r="D120" s="517" t="s">
        <v>466</v>
      </c>
      <c r="E120" s="349" t="s">
        <v>1</v>
      </c>
      <c r="F120" s="144">
        <f>0.8*2</f>
        <v>1.6</v>
      </c>
      <c r="G120" s="365">
        <v>219.58</v>
      </c>
      <c r="H120" s="587">
        <f t="shared" si="25"/>
        <v>351.32800000000003</v>
      </c>
      <c r="I120" s="17">
        <f t="shared" si="21"/>
        <v>5.1944737152869575E-4</v>
      </c>
    </row>
    <row r="121" spans="1:11" s="60" customFormat="1" ht="18" x14ac:dyDescent="0.25">
      <c r="A121" s="29" t="s">
        <v>599</v>
      </c>
      <c r="B121" s="382" t="s">
        <v>164</v>
      </c>
      <c r="C121" s="389" t="s">
        <v>164</v>
      </c>
      <c r="D121" s="517" t="str">
        <f>COMPOSIÇÕES!D91</f>
        <v>Confecção e instalação de película auto-adesiva, tipo jateada</v>
      </c>
      <c r="E121" s="349" t="s">
        <v>1</v>
      </c>
      <c r="F121" s="144">
        <f>F120</f>
        <v>1.6</v>
      </c>
      <c r="G121" s="365">
        <f>COMPOSIÇÕES!H93</f>
        <v>190</v>
      </c>
      <c r="H121" s="587">
        <f t="shared" si="25"/>
        <v>304</v>
      </c>
      <c r="I121" s="17">
        <f t="shared" si="21"/>
        <v>4.4947172142477545E-4</v>
      </c>
    </row>
    <row r="122" spans="1:11" s="60" customFormat="1" ht="36" x14ac:dyDescent="0.25">
      <c r="A122" s="29" t="s">
        <v>600</v>
      </c>
      <c r="B122" s="382">
        <v>4065</v>
      </c>
      <c r="C122" s="389" t="s">
        <v>304</v>
      </c>
      <c r="D122" s="521" t="s">
        <v>292</v>
      </c>
      <c r="E122" s="366" t="s">
        <v>1</v>
      </c>
      <c r="F122" s="598">
        <f>2.13*3.2</f>
        <v>6.8159999999999998</v>
      </c>
      <c r="G122" s="365">
        <v>130</v>
      </c>
      <c r="H122" s="587">
        <f t="shared" si="25"/>
        <v>886.07999999999993</v>
      </c>
      <c r="I122" s="17">
        <f t="shared" si="21"/>
        <v>1.3100917859212664E-3</v>
      </c>
    </row>
    <row r="123" spans="1:11" s="60" customFormat="1" ht="36" x14ac:dyDescent="0.25">
      <c r="A123" s="29" t="s">
        <v>601</v>
      </c>
      <c r="B123" s="382">
        <v>4065</v>
      </c>
      <c r="C123" s="389" t="s">
        <v>304</v>
      </c>
      <c r="D123" s="521" t="s">
        <v>293</v>
      </c>
      <c r="E123" s="366" t="s">
        <v>1</v>
      </c>
      <c r="F123" s="598">
        <f>2.11*3.2</f>
        <v>6.7519999999999998</v>
      </c>
      <c r="G123" s="365">
        <v>130</v>
      </c>
      <c r="H123" s="587">
        <f t="shared" ref="H123" si="26">F123*G123</f>
        <v>877.76</v>
      </c>
      <c r="I123" s="17">
        <f t="shared" si="21"/>
        <v>1.2977904545980622E-3</v>
      </c>
    </row>
    <row r="124" spans="1:11" s="60" customFormat="1" ht="36" x14ac:dyDescent="0.25">
      <c r="A124" s="29" t="s">
        <v>602</v>
      </c>
      <c r="B124" s="382">
        <v>4065</v>
      </c>
      <c r="C124" s="389" t="s">
        <v>304</v>
      </c>
      <c r="D124" s="521" t="s">
        <v>294</v>
      </c>
      <c r="E124" s="366" t="s">
        <v>1</v>
      </c>
      <c r="F124" s="598">
        <f>6.07*3.2</f>
        <v>19.424000000000003</v>
      </c>
      <c r="G124" s="365">
        <v>130</v>
      </c>
      <c r="H124" s="587">
        <f t="shared" ref="H124" si="27">F124*G124</f>
        <v>2525.1200000000003</v>
      </c>
      <c r="I124" s="17">
        <f t="shared" si="21"/>
        <v>3.7334540565925299E-3</v>
      </c>
    </row>
    <row r="125" spans="1:11" s="62" customFormat="1" ht="36" x14ac:dyDescent="0.25">
      <c r="A125" s="29" t="s">
        <v>603</v>
      </c>
      <c r="B125" s="372">
        <v>102246</v>
      </c>
      <c r="C125" s="389" t="s">
        <v>303</v>
      </c>
      <c r="D125" s="533" t="s">
        <v>467</v>
      </c>
      <c r="E125" s="308" t="s">
        <v>1</v>
      </c>
      <c r="F125" s="144">
        <f>(0.9*2.1)*3</f>
        <v>5.67</v>
      </c>
      <c r="G125" s="365">
        <v>151.47999999999999</v>
      </c>
      <c r="H125" s="587">
        <f t="shared" ref="H125" si="28">F125*G125</f>
        <v>858.89159999999993</v>
      </c>
      <c r="I125" s="17">
        <f t="shared" si="21"/>
        <v>1.2698930459515776E-3</v>
      </c>
      <c r="J125" s="61"/>
      <c r="K125" s="61"/>
    </row>
    <row r="126" spans="1:11" s="62" customFormat="1" ht="33.75" customHeight="1" x14ac:dyDescent="0.25">
      <c r="A126" s="29" t="s">
        <v>604</v>
      </c>
      <c r="B126" s="387">
        <v>12434</v>
      </c>
      <c r="C126" s="389" t="s">
        <v>304</v>
      </c>
      <c r="D126" s="360" t="s">
        <v>314</v>
      </c>
      <c r="E126" s="308" t="s">
        <v>2</v>
      </c>
      <c r="F126" s="144">
        <v>16</v>
      </c>
      <c r="G126" s="307">
        <v>70.39</v>
      </c>
      <c r="H126" s="587">
        <f t="shared" ref="H126:H127" si="29">F126*G126</f>
        <v>1126.24</v>
      </c>
      <c r="I126" s="17">
        <f t="shared" si="21"/>
        <v>1.665174445846839E-3</v>
      </c>
      <c r="J126" s="348"/>
      <c r="K126" s="61"/>
    </row>
    <row r="127" spans="1:11" s="62" customFormat="1" ht="54" x14ac:dyDescent="0.25">
      <c r="A127" s="29" t="s">
        <v>605</v>
      </c>
      <c r="B127" s="387">
        <v>8779</v>
      </c>
      <c r="C127" s="382" t="s">
        <v>304</v>
      </c>
      <c r="D127" s="130" t="s">
        <v>257</v>
      </c>
      <c r="E127" s="308" t="s">
        <v>153</v>
      </c>
      <c r="F127" s="144">
        <v>23.38</v>
      </c>
      <c r="G127" s="16">
        <v>280.88</v>
      </c>
      <c r="H127" s="587">
        <f t="shared" si="29"/>
        <v>6566.9744000000001</v>
      </c>
      <c r="I127" s="17">
        <f t="shared" si="21"/>
        <v>9.7094384477645779E-3</v>
      </c>
      <c r="J127" s="348"/>
      <c r="K127" s="61"/>
    </row>
    <row r="128" spans="1:11" s="62" customFormat="1" ht="18" x14ac:dyDescent="0.25">
      <c r="A128" s="29" t="s">
        <v>606</v>
      </c>
      <c r="B128" s="387">
        <v>4389</v>
      </c>
      <c r="C128" s="382" t="s">
        <v>304</v>
      </c>
      <c r="D128" s="130" t="s">
        <v>258</v>
      </c>
      <c r="E128" s="308" t="s">
        <v>2</v>
      </c>
      <c r="F128" s="144">
        <v>18</v>
      </c>
      <c r="G128" s="16">
        <v>26.96</v>
      </c>
      <c r="H128" s="587">
        <f t="shared" ref="H128:H131" si="30">F128*G128</f>
        <v>485.28000000000003</v>
      </c>
      <c r="I128" s="17">
        <f t="shared" si="21"/>
        <v>7.1749880583228632E-4</v>
      </c>
      <c r="J128" s="348"/>
      <c r="K128" s="61"/>
    </row>
    <row r="129" spans="1:11" s="62" customFormat="1" ht="36" x14ac:dyDescent="0.25">
      <c r="A129" s="29" t="s">
        <v>607</v>
      </c>
      <c r="B129" s="387">
        <v>4332</v>
      </c>
      <c r="C129" s="382" t="s">
        <v>304</v>
      </c>
      <c r="D129" s="130" t="s">
        <v>431</v>
      </c>
      <c r="E129" s="308" t="s">
        <v>1</v>
      </c>
      <c r="F129" s="144">
        <f>19*1.1</f>
        <v>20.900000000000002</v>
      </c>
      <c r="G129" s="16">
        <v>236.27</v>
      </c>
      <c r="H129" s="587">
        <f t="shared" si="30"/>
        <v>4938.0430000000006</v>
      </c>
      <c r="I129" s="17">
        <f t="shared" si="21"/>
        <v>7.3010219989459299E-3</v>
      </c>
      <c r="J129" s="348"/>
      <c r="K129" s="61"/>
    </row>
    <row r="130" spans="1:11" s="62" customFormat="1" ht="18" x14ac:dyDescent="0.25">
      <c r="A130" s="29" t="s">
        <v>608</v>
      </c>
      <c r="B130" s="387">
        <v>13543</v>
      </c>
      <c r="C130" s="382" t="s">
        <v>304</v>
      </c>
      <c r="D130" s="130" t="s">
        <v>528</v>
      </c>
      <c r="E130" s="308" t="s">
        <v>1</v>
      </c>
      <c r="F130" s="144">
        <f>(F118+F115+F112)*10%</f>
        <v>2.5770600000000004</v>
      </c>
      <c r="G130" s="16">
        <v>679.59</v>
      </c>
      <c r="H130" s="587">
        <f t="shared" si="30"/>
        <v>1751.3442054000004</v>
      </c>
      <c r="I130" s="17">
        <f t="shared" si="21"/>
        <v>2.5894068908172488E-3</v>
      </c>
      <c r="J130" s="348"/>
      <c r="K130" s="61"/>
    </row>
    <row r="131" spans="1:11" s="62" customFormat="1" ht="18" x14ac:dyDescent="0.25">
      <c r="A131" s="29" t="s">
        <v>609</v>
      </c>
      <c r="B131" s="387" t="s">
        <v>164</v>
      </c>
      <c r="C131" s="382" t="s">
        <v>164</v>
      </c>
      <c r="D131" s="130" t="str">
        <f>COMPOSIÇÕES!D110</f>
        <v>REMOÇÃO DE PORTÃO / PORTA METALICO (EMBASA 02.01.47)</v>
      </c>
      <c r="E131" s="308" t="s">
        <v>1</v>
      </c>
      <c r="F131" s="144">
        <f>3.66*9.91</f>
        <v>36.270600000000002</v>
      </c>
      <c r="G131" s="16">
        <f>COMPOSIÇÕES!H113</f>
        <v>24.678000000000001</v>
      </c>
      <c r="H131" s="587">
        <f t="shared" si="30"/>
        <v>895.08586680000008</v>
      </c>
      <c r="I131" s="17">
        <f t="shared" si="21"/>
        <v>1.3234071887288923E-3</v>
      </c>
      <c r="J131" s="348"/>
      <c r="K131" s="61"/>
    </row>
    <row r="132" spans="1:11" s="62" customFormat="1" ht="39" customHeight="1" thickBot="1" x14ac:dyDescent="0.3">
      <c r="A132" s="563" t="s">
        <v>610</v>
      </c>
      <c r="B132" s="553" t="s">
        <v>164</v>
      </c>
      <c r="C132" s="553" t="s">
        <v>164</v>
      </c>
      <c r="D132" s="654" t="s">
        <v>539</v>
      </c>
      <c r="E132" s="655" t="s">
        <v>2</v>
      </c>
      <c r="F132" s="599">
        <v>4</v>
      </c>
      <c r="G132" s="656">
        <f>COMPOSIÇÕES!H168</f>
        <v>35.539000000000001</v>
      </c>
      <c r="H132" s="620">
        <f t="shared" ref="H132" si="31">F132*G132</f>
        <v>142.15600000000001</v>
      </c>
      <c r="I132" s="17">
        <f t="shared" si="21"/>
        <v>2.1018125668046178E-4</v>
      </c>
      <c r="J132" s="348"/>
      <c r="K132" s="61"/>
    </row>
    <row r="133" spans="1:11" s="62" customFormat="1" ht="18" customHeight="1" thickBot="1" x14ac:dyDescent="0.3">
      <c r="A133" s="562">
        <v>10</v>
      </c>
      <c r="B133" s="537"/>
      <c r="C133" s="537"/>
      <c r="D133" s="538" t="s">
        <v>187</v>
      </c>
      <c r="E133" s="539"/>
      <c r="F133" s="596"/>
      <c r="G133" s="542"/>
      <c r="H133" s="613">
        <f>SUM(H134:H152)</f>
        <v>13062.02665</v>
      </c>
      <c r="I133" s="17">
        <f t="shared" si="21"/>
        <v>1.9312538169973002E-2</v>
      </c>
      <c r="J133" s="348"/>
    </row>
    <row r="134" spans="1:11" s="62" customFormat="1" ht="36" x14ac:dyDescent="0.25">
      <c r="A134" s="29" t="s">
        <v>424</v>
      </c>
      <c r="B134" s="387" t="s">
        <v>164</v>
      </c>
      <c r="C134" s="391" t="s">
        <v>164</v>
      </c>
      <c r="D134" s="129" t="s">
        <v>682</v>
      </c>
      <c r="E134" s="349" t="s">
        <v>2</v>
      </c>
      <c r="F134" s="144">
        <v>3</v>
      </c>
      <c r="G134" s="16">
        <f>COMPOSIÇÕES!H196</f>
        <v>285.97500000000002</v>
      </c>
      <c r="H134" s="611">
        <f t="shared" ref="H134:H136" si="32">F134*G134</f>
        <v>857.92500000000007</v>
      </c>
      <c r="I134" s="17">
        <f t="shared" si="21"/>
        <v>1.268463903300495E-3</v>
      </c>
      <c r="J134" s="348"/>
      <c r="K134" s="61"/>
    </row>
    <row r="135" spans="1:11" s="62" customFormat="1" ht="36" x14ac:dyDescent="0.25">
      <c r="A135" s="29" t="s">
        <v>247</v>
      </c>
      <c r="B135" s="372">
        <v>9676</v>
      </c>
      <c r="C135" s="372" t="s">
        <v>304</v>
      </c>
      <c r="D135" s="129" t="s">
        <v>683</v>
      </c>
      <c r="E135" s="349" t="s">
        <v>2</v>
      </c>
      <c r="F135" s="144">
        <v>4</v>
      </c>
      <c r="G135" s="16">
        <v>273.77</v>
      </c>
      <c r="H135" s="611">
        <f t="shared" si="32"/>
        <v>1095.08</v>
      </c>
      <c r="I135" s="17">
        <f t="shared" si="21"/>
        <v>1.6191035944007994E-3</v>
      </c>
      <c r="J135" s="348"/>
      <c r="K135" s="61"/>
    </row>
    <row r="136" spans="1:11" s="62" customFormat="1" ht="18" x14ac:dyDescent="0.25">
      <c r="A136" s="29" t="s">
        <v>611</v>
      </c>
      <c r="B136" s="387" t="s">
        <v>164</v>
      </c>
      <c r="C136" s="391" t="s">
        <v>164</v>
      </c>
      <c r="D136" s="657" t="s">
        <v>684</v>
      </c>
      <c r="E136" s="409" t="s">
        <v>2</v>
      </c>
      <c r="F136" s="421">
        <v>1</v>
      </c>
      <c r="G136" s="16">
        <f>COMPOSIÇÕES!H207</f>
        <v>2753.66</v>
      </c>
      <c r="H136" s="611">
        <f t="shared" si="32"/>
        <v>2753.66</v>
      </c>
      <c r="I136" s="17">
        <f t="shared" si="21"/>
        <v>4.0713562513767995E-3</v>
      </c>
      <c r="J136" s="348"/>
      <c r="K136" s="61"/>
    </row>
    <row r="137" spans="1:11" s="62" customFormat="1" ht="36" x14ac:dyDescent="0.25">
      <c r="A137" s="29" t="s">
        <v>612</v>
      </c>
      <c r="B137" s="390">
        <v>3677</v>
      </c>
      <c r="C137" s="390" t="s">
        <v>304</v>
      </c>
      <c r="D137" s="129" t="s">
        <v>334</v>
      </c>
      <c r="E137" s="349" t="s">
        <v>2</v>
      </c>
      <c r="F137" s="144">
        <v>2</v>
      </c>
      <c r="G137" s="16">
        <v>20.87</v>
      </c>
      <c r="H137" s="611">
        <f t="shared" ref="H137:H139" si="33">F137*G137</f>
        <v>41.74</v>
      </c>
      <c r="I137" s="17">
        <f t="shared" si="21"/>
        <v>6.1713650171941212E-5</v>
      </c>
      <c r="J137" s="348"/>
      <c r="K137" s="61"/>
    </row>
    <row r="138" spans="1:11" s="62" customFormat="1" ht="36" x14ac:dyDescent="0.25">
      <c r="A138" s="29" t="s">
        <v>613</v>
      </c>
      <c r="B138" s="372">
        <v>94497</v>
      </c>
      <c r="C138" s="372" t="s">
        <v>303</v>
      </c>
      <c r="D138" s="129" t="s">
        <v>242</v>
      </c>
      <c r="E138" s="349" t="s">
        <v>2</v>
      </c>
      <c r="F138" s="144">
        <v>2</v>
      </c>
      <c r="G138" s="16">
        <v>105.8</v>
      </c>
      <c r="H138" s="611">
        <f t="shared" si="33"/>
        <v>211.6</v>
      </c>
      <c r="I138" s="17">
        <f t="shared" ref="I138:I169" si="34">H138/$H$222</f>
        <v>3.1285597451803448E-4</v>
      </c>
      <c r="J138" s="348"/>
      <c r="K138" s="61"/>
    </row>
    <row r="139" spans="1:11" s="62" customFormat="1" ht="18" x14ac:dyDescent="0.25">
      <c r="A139" s="29" t="s">
        <v>614</v>
      </c>
      <c r="B139" s="372">
        <v>9721</v>
      </c>
      <c r="C139" s="372" t="s">
        <v>304</v>
      </c>
      <c r="D139" s="129" t="s">
        <v>222</v>
      </c>
      <c r="E139" s="349" t="s">
        <v>1</v>
      </c>
      <c r="F139" s="144">
        <f>(0.25*0.35)*2</f>
        <v>0.17499999999999999</v>
      </c>
      <c r="G139" s="16">
        <v>671.23</v>
      </c>
      <c r="H139" s="611">
        <f t="shared" si="33"/>
        <v>117.46525</v>
      </c>
      <c r="I139" s="17">
        <f t="shared" si="34"/>
        <v>1.7367535567464342E-4</v>
      </c>
      <c r="J139" s="348"/>
      <c r="K139" s="61"/>
    </row>
    <row r="140" spans="1:11" s="62" customFormat="1" ht="36" x14ac:dyDescent="0.25">
      <c r="A140" s="29" t="s">
        <v>615</v>
      </c>
      <c r="B140" s="372">
        <v>100868</v>
      </c>
      <c r="C140" s="372" t="s">
        <v>303</v>
      </c>
      <c r="D140" s="130" t="s">
        <v>221</v>
      </c>
      <c r="E140" s="349" t="s">
        <v>2</v>
      </c>
      <c r="F140" s="144">
        <v>4</v>
      </c>
      <c r="G140" s="16">
        <v>313.24</v>
      </c>
      <c r="H140" s="611">
        <f t="shared" ref="H140:H141" si="35">F140*G140</f>
        <v>1252.96</v>
      </c>
      <c r="I140" s="17">
        <f t="shared" si="34"/>
        <v>1.8525331844617982E-3</v>
      </c>
      <c r="J140" s="348"/>
      <c r="K140" s="61"/>
    </row>
    <row r="141" spans="1:11" s="62" customFormat="1" ht="36" x14ac:dyDescent="0.25">
      <c r="A141" s="29" t="s">
        <v>616</v>
      </c>
      <c r="B141" s="379" t="s">
        <v>219</v>
      </c>
      <c r="C141" s="379" t="s">
        <v>303</v>
      </c>
      <c r="D141" s="130" t="s">
        <v>220</v>
      </c>
      <c r="E141" s="349" t="s">
        <v>2</v>
      </c>
      <c r="F141" s="144">
        <v>2</v>
      </c>
      <c r="G141" s="16">
        <v>302.91000000000003</v>
      </c>
      <c r="H141" s="611">
        <f t="shared" si="35"/>
        <v>605.82000000000005</v>
      </c>
      <c r="I141" s="17">
        <f t="shared" si="34"/>
        <v>8.957202574788075E-4</v>
      </c>
      <c r="J141" s="348"/>
      <c r="K141" s="61"/>
    </row>
    <row r="142" spans="1:11" s="62" customFormat="1" ht="18" x14ac:dyDescent="0.25">
      <c r="A142" s="29" t="s">
        <v>617</v>
      </c>
      <c r="B142" s="372">
        <v>13110</v>
      </c>
      <c r="C142" s="372" t="s">
        <v>304</v>
      </c>
      <c r="D142" s="130" t="s">
        <v>308</v>
      </c>
      <c r="E142" s="349" t="s">
        <v>2</v>
      </c>
      <c r="F142" s="144">
        <v>2</v>
      </c>
      <c r="G142" s="16">
        <v>111.77</v>
      </c>
      <c r="H142" s="611">
        <f t="shared" ref="H142:H143" si="36">F142*G142</f>
        <v>223.54</v>
      </c>
      <c r="I142" s="17">
        <f t="shared" si="34"/>
        <v>3.305095677871523E-4</v>
      </c>
      <c r="J142" s="61"/>
      <c r="K142" s="61"/>
    </row>
    <row r="143" spans="1:11" s="62" customFormat="1" ht="18" x14ac:dyDescent="0.25">
      <c r="A143" s="29" t="s">
        <v>618</v>
      </c>
      <c r="B143" s="372">
        <v>8211</v>
      </c>
      <c r="C143" s="372" t="s">
        <v>304</v>
      </c>
      <c r="D143" s="130" t="s">
        <v>476</v>
      </c>
      <c r="E143" s="308" t="s">
        <v>2</v>
      </c>
      <c r="F143" s="144">
        <v>2</v>
      </c>
      <c r="G143" s="16">
        <v>410.56</v>
      </c>
      <c r="H143" s="611">
        <f t="shared" si="36"/>
        <v>821.12</v>
      </c>
      <c r="I143" s="17">
        <f t="shared" si="34"/>
        <v>1.2140467759747093E-3</v>
      </c>
      <c r="J143" s="61"/>
      <c r="K143" s="61"/>
    </row>
    <row r="144" spans="1:11" s="62" customFormat="1" ht="36" x14ac:dyDescent="0.25">
      <c r="A144" s="29" t="s">
        <v>619</v>
      </c>
      <c r="B144" s="372">
        <v>3587</v>
      </c>
      <c r="C144" s="372" t="s">
        <v>304</v>
      </c>
      <c r="D144" s="130" t="s">
        <v>239</v>
      </c>
      <c r="E144" s="308" t="s">
        <v>2</v>
      </c>
      <c r="F144" s="144">
        <v>4</v>
      </c>
      <c r="G144" s="16">
        <v>209.9</v>
      </c>
      <c r="H144" s="611">
        <f t="shared" ref="H144" si="37">F144*G144</f>
        <v>839.6</v>
      </c>
      <c r="I144" s="17">
        <f t="shared" si="34"/>
        <v>1.2413699253560574E-3</v>
      </c>
      <c r="J144" s="61"/>
      <c r="K144" s="61"/>
    </row>
    <row r="145" spans="1:11" s="62" customFormat="1" ht="36" x14ac:dyDescent="0.25">
      <c r="A145" s="29" t="s">
        <v>620</v>
      </c>
      <c r="B145" s="372">
        <v>13873</v>
      </c>
      <c r="C145" s="372" t="s">
        <v>304</v>
      </c>
      <c r="D145" s="130" t="s">
        <v>409</v>
      </c>
      <c r="E145" s="349" t="s">
        <v>309</v>
      </c>
      <c r="F145" s="144">
        <v>1</v>
      </c>
      <c r="G145" s="365">
        <v>134.02000000000001</v>
      </c>
      <c r="H145" s="611">
        <f t="shared" ref="H145:H152" si="38">F145*G145</f>
        <v>134.02000000000001</v>
      </c>
      <c r="I145" s="17">
        <f t="shared" si="34"/>
        <v>1.9815197403075133E-4</v>
      </c>
      <c r="J145" s="61"/>
      <c r="K145" s="61"/>
    </row>
    <row r="146" spans="1:11" s="62" customFormat="1" ht="18" x14ac:dyDescent="0.25">
      <c r="A146" s="29" t="s">
        <v>621</v>
      </c>
      <c r="B146" s="372">
        <v>3708</v>
      </c>
      <c r="C146" s="372" t="s">
        <v>304</v>
      </c>
      <c r="D146" s="129" t="s">
        <v>232</v>
      </c>
      <c r="E146" s="349" t="s">
        <v>2</v>
      </c>
      <c r="F146" s="144">
        <v>2</v>
      </c>
      <c r="G146" s="365">
        <v>115.95</v>
      </c>
      <c r="H146" s="611">
        <f t="shared" si="38"/>
        <v>231.9</v>
      </c>
      <c r="I146" s="17">
        <f t="shared" si="34"/>
        <v>3.4287004012633363E-4</v>
      </c>
      <c r="J146" s="61"/>
      <c r="K146" s="61"/>
    </row>
    <row r="147" spans="1:11" s="62" customFormat="1" ht="18" x14ac:dyDescent="0.25">
      <c r="A147" s="29" t="s">
        <v>622</v>
      </c>
      <c r="B147" s="372">
        <v>4286</v>
      </c>
      <c r="C147" s="372" t="s">
        <v>304</v>
      </c>
      <c r="D147" s="129" t="s">
        <v>231</v>
      </c>
      <c r="E147" s="349" t="s">
        <v>2</v>
      </c>
      <c r="F147" s="144">
        <v>2</v>
      </c>
      <c r="G147" s="365">
        <v>39.299999999999997</v>
      </c>
      <c r="H147" s="611">
        <f t="shared" si="38"/>
        <v>78.599999999999994</v>
      </c>
      <c r="I147" s="17">
        <f t="shared" si="34"/>
        <v>1.1621209639469522E-4</v>
      </c>
      <c r="J147" s="61"/>
      <c r="K147" s="61"/>
    </row>
    <row r="148" spans="1:11" s="62" customFormat="1" ht="18" x14ac:dyDescent="0.25">
      <c r="A148" s="29" t="s">
        <v>623</v>
      </c>
      <c r="B148" s="372">
        <v>12511</v>
      </c>
      <c r="C148" s="372" t="s">
        <v>304</v>
      </c>
      <c r="D148" s="129" t="s">
        <v>364</v>
      </c>
      <c r="E148" s="349" t="s">
        <v>2</v>
      </c>
      <c r="F148" s="144">
        <v>2</v>
      </c>
      <c r="G148" s="365">
        <v>74.45</v>
      </c>
      <c r="H148" s="611">
        <f t="shared" si="38"/>
        <v>148.9</v>
      </c>
      <c r="I148" s="17">
        <f t="shared" si="34"/>
        <v>2.2015243197417455E-4</v>
      </c>
      <c r="J148" s="61"/>
      <c r="K148" s="61"/>
    </row>
    <row r="149" spans="1:11" s="62" customFormat="1" ht="18" x14ac:dyDescent="0.25">
      <c r="A149" s="29" t="s">
        <v>624</v>
      </c>
      <c r="B149" s="372">
        <v>4287</v>
      </c>
      <c r="C149" s="372" t="s">
        <v>304</v>
      </c>
      <c r="D149" s="129" t="s">
        <v>230</v>
      </c>
      <c r="E149" s="349" t="s">
        <v>2</v>
      </c>
      <c r="F149" s="144">
        <v>2</v>
      </c>
      <c r="G149" s="365">
        <v>54.93</v>
      </c>
      <c r="H149" s="611">
        <f t="shared" si="38"/>
        <v>109.86</v>
      </c>
      <c r="I149" s="17">
        <f t="shared" si="34"/>
        <v>1.6243080038067707E-4</v>
      </c>
      <c r="J149" s="61"/>
      <c r="K149" s="61"/>
    </row>
    <row r="150" spans="1:11" s="62" customFormat="1" ht="18" x14ac:dyDescent="0.25">
      <c r="A150" s="29" t="s">
        <v>625</v>
      </c>
      <c r="B150" s="372">
        <v>9718</v>
      </c>
      <c r="C150" s="372" t="s">
        <v>304</v>
      </c>
      <c r="D150" s="129" t="s">
        <v>223</v>
      </c>
      <c r="E150" s="349" t="s">
        <v>1</v>
      </c>
      <c r="F150" s="144">
        <f>(0.4*0.9)*2</f>
        <v>0.72000000000000008</v>
      </c>
      <c r="G150" s="365">
        <v>571.87</v>
      </c>
      <c r="H150" s="611">
        <f t="shared" si="38"/>
        <v>411.74640000000005</v>
      </c>
      <c r="I150" s="17">
        <f t="shared" si="34"/>
        <v>6.0877751052123088E-4</v>
      </c>
      <c r="J150" s="61"/>
      <c r="K150" s="61"/>
    </row>
    <row r="151" spans="1:11" s="62" customFormat="1" ht="18" x14ac:dyDescent="0.25">
      <c r="A151" s="29" t="s">
        <v>626</v>
      </c>
      <c r="B151" s="372">
        <v>11961</v>
      </c>
      <c r="C151" s="372" t="s">
        <v>304</v>
      </c>
      <c r="D151" s="129" t="s">
        <v>474</v>
      </c>
      <c r="E151" s="349" t="s">
        <v>2</v>
      </c>
      <c r="F151" s="144">
        <v>2</v>
      </c>
      <c r="G151" s="365">
        <v>550.66</v>
      </c>
      <c r="H151" s="587">
        <f t="shared" si="38"/>
        <v>1101.32</v>
      </c>
      <c r="I151" s="17">
        <f t="shared" si="34"/>
        <v>1.6283295928932028E-3</v>
      </c>
      <c r="J151" s="61"/>
      <c r="K151" s="61"/>
    </row>
    <row r="152" spans="1:11" s="62" customFormat="1" ht="36.75" thickBot="1" x14ac:dyDescent="0.3">
      <c r="A152" s="563" t="s">
        <v>627</v>
      </c>
      <c r="B152" s="549">
        <v>10041</v>
      </c>
      <c r="C152" s="549" t="s">
        <v>304</v>
      </c>
      <c r="D152" s="550" t="s">
        <v>522</v>
      </c>
      <c r="E152" s="551" t="s">
        <v>2</v>
      </c>
      <c r="F152" s="599">
        <v>1</v>
      </c>
      <c r="G152" s="552">
        <v>2025.17</v>
      </c>
      <c r="H152" s="620">
        <f t="shared" si="38"/>
        <v>2025.17</v>
      </c>
      <c r="I152" s="17">
        <f t="shared" si="34"/>
        <v>2.9942652831506989E-3</v>
      </c>
      <c r="J152" s="61"/>
      <c r="K152" s="61"/>
    </row>
    <row r="153" spans="1:11" s="62" customFormat="1" ht="18" customHeight="1" thickBot="1" x14ac:dyDescent="0.3">
      <c r="A153" s="562">
        <v>11</v>
      </c>
      <c r="B153" s="537"/>
      <c r="C153" s="537"/>
      <c r="D153" s="538" t="s">
        <v>189</v>
      </c>
      <c r="E153" s="539"/>
      <c r="F153" s="596"/>
      <c r="G153" s="540"/>
      <c r="H153" s="613">
        <f>SUM(H154:H184)</f>
        <v>68889.705215499998</v>
      </c>
      <c r="I153" s="17">
        <f t="shared" si="34"/>
        <v>0.10185517891992142</v>
      </c>
    </row>
    <row r="154" spans="1:11" s="62" customFormat="1" ht="18" x14ac:dyDescent="0.25">
      <c r="A154" s="29" t="s">
        <v>267</v>
      </c>
      <c r="B154" s="390">
        <v>629</v>
      </c>
      <c r="C154" s="390" t="s">
        <v>304</v>
      </c>
      <c r="D154" s="428" t="s">
        <v>248</v>
      </c>
      <c r="E154" s="356" t="s">
        <v>243</v>
      </c>
      <c r="F154" s="421">
        <v>76</v>
      </c>
      <c r="G154" s="429">
        <v>59.56</v>
      </c>
      <c r="H154" s="611">
        <f t="shared" ref="H154:H162" si="39">F154*G154</f>
        <v>4526.5600000000004</v>
      </c>
      <c r="I154" s="17">
        <f t="shared" si="34"/>
        <v>6.692633932014907E-3</v>
      </c>
      <c r="J154" s="371"/>
      <c r="K154" s="61"/>
    </row>
    <row r="155" spans="1:11" s="62" customFormat="1" ht="18" x14ac:dyDescent="0.25">
      <c r="A155" s="566" t="s">
        <v>312</v>
      </c>
      <c r="B155" s="372">
        <v>624</v>
      </c>
      <c r="C155" s="372" t="s">
        <v>304</v>
      </c>
      <c r="D155" s="129" t="s">
        <v>244</v>
      </c>
      <c r="E155" s="349" t="s">
        <v>243</v>
      </c>
      <c r="F155" s="153">
        <v>52</v>
      </c>
      <c r="G155" s="365">
        <v>30.19</v>
      </c>
      <c r="H155" s="587">
        <f t="shared" si="39"/>
        <v>1569.88</v>
      </c>
      <c r="I155" s="17">
        <f t="shared" si="34"/>
        <v>2.3211074540471265E-3</v>
      </c>
      <c r="J155" s="371"/>
      <c r="K155" s="61"/>
    </row>
    <row r="156" spans="1:11" s="62" customFormat="1" ht="18" x14ac:dyDescent="0.25">
      <c r="A156" s="29" t="s">
        <v>496</v>
      </c>
      <c r="B156" s="372">
        <v>11327</v>
      </c>
      <c r="C156" s="372" t="s">
        <v>304</v>
      </c>
      <c r="D156" s="130" t="s">
        <v>332</v>
      </c>
      <c r="E156" s="349" t="s">
        <v>2</v>
      </c>
      <c r="F156" s="153">
        <v>10</v>
      </c>
      <c r="G156" s="365">
        <v>24.52</v>
      </c>
      <c r="H156" s="587">
        <f t="shared" si="39"/>
        <v>245.2</v>
      </c>
      <c r="I156" s="17">
        <f t="shared" si="34"/>
        <v>3.6253442793866754E-4</v>
      </c>
      <c r="J156" s="371"/>
      <c r="K156" s="61"/>
    </row>
    <row r="157" spans="1:11" s="62" customFormat="1" ht="54" x14ac:dyDescent="0.25">
      <c r="A157" s="566" t="s">
        <v>497</v>
      </c>
      <c r="B157" s="372">
        <v>3397</v>
      </c>
      <c r="C157" s="372" t="s">
        <v>304</v>
      </c>
      <c r="D157" s="130" t="s">
        <v>317</v>
      </c>
      <c r="E157" s="349" t="s">
        <v>2</v>
      </c>
      <c r="F157" s="153">
        <v>15</v>
      </c>
      <c r="G157" s="16">
        <v>262.51</v>
      </c>
      <c r="H157" s="587">
        <f t="shared" si="39"/>
        <v>3937.6499999999996</v>
      </c>
      <c r="I157" s="17">
        <f t="shared" si="34"/>
        <v>5.821915539040351E-3</v>
      </c>
      <c r="J157" s="371"/>
      <c r="K157" s="61"/>
    </row>
    <row r="158" spans="1:11" s="62" customFormat="1" ht="18" x14ac:dyDescent="0.25">
      <c r="A158" s="29" t="s">
        <v>628</v>
      </c>
      <c r="B158" s="372">
        <v>632</v>
      </c>
      <c r="C158" s="372" t="s">
        <v>304</v>
      </c>
      <c r="D158" s="129" t="s">
        <v>245</v>
      </c>
      <c r="E158" s="349" t="s">
        <v>243</v>
      </c>
      <c r="F158" s="144">
        <v>9</v>
      </c>
      <c r="G158" s="16">
        <v>100.73</v>
      </c>
      <c r="H158" s="587">
        <f t="shared" si="39"/>
        <v>906.57</v>
      </c>
      <c r="I158" s="17">
        <f t="shared" si="34"/>
        <v>1.3403867713554561E-3</v>
      </c>
      <c r="J158" s="371"/>
      <c r="K158" s="61"/>
    </row>
    <row r="159" spans="1:11" s="62" customFormat="1" ht="36" x14ac:dyDescent="0.25">
      <c r="A159" s="566" t="s">
        <v>629</v>
      </c>
      <c r="B159" s="372" t="s">
        <v>164</v>
      </c>
      <c r="C159" s="391" t="s">
        <v>164</v>
      </c>
      <c r="D159" s="130" t="s">
        <v>676</v>
      </c>
      <c r="E159" s="349" t="s">
        <v>2</v>
      </c>
      <c r="F159" s="145">
        <v>17</v>
      </c>
      <c r="G159" s="16">
        <f>COMPOSIÇÕES!H219</f>
        <v>156.4317715</v>
      </c>
      <c r="H159" s="587">
        <f t="shared" si="39"/>
        <v>2659.3401155000001</v>
      </c>
      <c r="I159" s="17">
        <f t="shared" si="34"/>
        <v>3.9319019064728488E-3</v>
      </c>
      <c r="J159" s="371"/>
      <c r="K159" s="61"/>
    </row>
    <row r="160" spans="1:11" s="62" customFormat="1" ht="54" x14ac:dyDescent="0.25">
      <c r="A160" s="29" t="s">
        <v>630</v>
      </c>
      <c r="B160" s="372" t="s">
        <v>164</v>
      </c>
      <c r="C160" s="391" t="s">
        <v>164</v>
      </c>
      <c r="D160" s="130" t="s">
        <v>546</v>
      </c>
      <c r="E160" s="349" t="s">
        <v>2</v>
      </c>
      <c r="F160" s="145">
        <v>44</v>
      </c>
      <c r="G160" s="16">
        <f>COMPOSIÇÕES!H228</f>
        <v>402.69000000000005</v>
      </c>
      <c r="H160" s="587">
        <f t="shared" ref="H160" si="40">F160*G160</f>
        <v>17718.36</v>
      </c>
      <c r="I160" s="17">
        <f t="shared" si="34"/>
        <v>2.6197045296131198E-2</v>
      </c>
      <c r="J160" s="371"/>
      <c r="K160" s="61"/>
    </row>
    <row r="161" spans="1:11" s="62" customFormat="1" ht="36" x14ac:dyDescent="0.25">
      <c r="A161" s="566" t="s">
        <v>631</v>
      </c>
      <c r="B161" s="372">
        <v>91926</v>
      </c>
      <c r="C161" s="390" t="s">
        <v>303</v>
      </c>
      <c r="D161" s="129" t="s">
        <v>504</v>
      </c>
      <c r="E161" s="349" t="s">
        <v>153</v>
      </c>
      <c r="F161" s="144">
        <v>307.45999999999998</v>
      </c>
      <c r="G161" s="16">
        <v>4.6900000000000004</v>
      </c>
      <c r="H161" s="587">
        <f t="shared" si="39"/>
        <v>1441.9874</v>
      </c>
      <c r="I161" s="17">
        <f t="shared" si="34"/>
        <v>2.1320149965488033E-3</v>
      </c>
      <c r="J161" s="371"/>
      <c r="K161" s="61"/>
    </row>
    <row r="162" spans="1:11" s="62" customFormat="1" ht="36" x14ac:dyDescent="0.25">
      <c r="A162" s="29" t="s">
        <v>632</v>
      </c>
      <c r="B162" s="377">
        <v>91926</v>
      </c>
      <c r="C162" s="377" t="s">
        <v>303</v>
      </c>
      <c r="D162" s="657" t="s">
        <v>505</v>
      </c>
      <c r="E162" s="359" t="s">
        <v>153</v>
      </c>
      <c r="F162" s="153">
        <v>153.72999999999999</v>
      </c>
      <c r="G162" s="16">
        <v>4.6900000000000004</v>
      </c>
      <c r="H162" s="587">
        <f t="shared" si="39"/>
        <v>720.99369999999999</v>
      </c>
      <c r="I162" s="17">
        <f t="shared" si="34"/>
        <v>1.0660074982744017E-3</v>
      </c>
      <c r="J162" s="371"/>
      <c r="K162" s="61"/>
    </row>
    <row r="163" spans="1:11" s="62" customFormat="1" ht="36" x14ac:dyDescent="0.25">
      <c r="A163" s="566" t="s">
        <v>633</v>
      </c>
      <c r="B163" s="372">
        <v>91928</v>
      </c>
      <c r="C163" s="372" t="s">
        <v>303</v>
      </c>
      <c r="D163" s="129" t="s">
        <v>502</v>
      </c>
      <c r="E163" s="349" t="s">
        <v>153</v>
      </c>
      <c r="F163" s="144">
        <v>95.8</v>
      </c>
      <c r="G163" s="16">
        <v>7.22</v>
      </c>
      <c r="H163" s="587">
        <f t="shared" ref="H163:H184" si="41">F163*G163</f>
        <v>691.67599999999993</v>
      </c>
      <c r="I163" s="17">
        <f t="shared" si="34"/>
        <v>1.0226605341717202E-3</v>
      </c>
      <c r="J163" s="371"/>
      <c r="K163" s="61"/>
    </row>
    <row r="164" spans="1:11" s="62" customFormat="1" ht="36" x14ac:dyDescent="0.25">
      <c r="A164" s="29" t="s">
        <v>634</v>
      </c>
      <c r="B164" s="372">
        <v>91928</v>
      </c>
      <c r="C164" s="372" t="s">
        <v>303</v>
      </c>
      <c r="D164" s="129" t="s">
        <v>503</v>
      </c>
      <c r="E164" s="349" t="s">
        <v>153</v>
      </c>
      <c r="F164" s="144">
        <v>47.9</v>
      </c>
      <c r="G164" s="16">
        <v>7.22</v>
      </c>
      <c r="H164" s="587">
        <f t="shared" si="41"/>
        <v>345.83799999999997</v>
      </c>
      <c r="I164" s="17">
        <f t="shared" si="34"/>
        <v>5.113302670858601E-4</v>
      </c>
      <c r="J164" s="371"/>
      <c r="K164" s="61"/>
    </row>
    <row r="165" spans="1:11" s="62" customFormat="1" ht="39" customHeight="1" x14ac:dyDescent="0.25">
      <c r="A165" s="566" t="s">
        <v>635</v>
      </c>
      <c r="B165" s="372">
        <v>101564</v>
      </c>
      <c r="C165" s="372" t="s">
        <v>303</v>
      </c>
      <c r="D165" s="129" t="s">
        <v>378</v>
      </c>
      <c r="E165" s="349" t="s">
        <v>153</v>
      </c>
      <c r="F165" s="144">
        <v>249.15</v>
      </c>
      <c r="G165" s="16">
        <v>55.35</v>
      </c>
      <c r="H165" s="587">
        <f t="shared" si="41"/>
        <v>13790.452500000001</v>
      </c>
      <c r="I165" s="17">
        <f t="shared" si="34"/>
        <v>2.0389534290794733E-2</v>
      </c>
      <c r="J165" s="371"/>
      <c r="K165" s="61"/>
    </row>
    <row r="166" spans="1:11" s="62" customFormat="1" ht="39" customHeight="1" x14ac:dyDescent="0.25">
      <c r="A166" s="29" t="s">
        <v>636</v>
      </c>
      <c r="B166" s="372">
        <v>101564</v>
      </c>
      <c r="C166" s="372" t="s">
        <v>303</v>
      </c>
      <c r="D166" s="129" t="s">
        <v>379</v>
      </c>
      <c r="E166" s="349" t="s">
        <v>153</v>
      </c>
      <c r="F166" s="144">
        <v>83.05</v>
      </c>
      <c r="G166" s="16">
        <v>55.35</v>
      </c>
      <c r="H166" s="587">
        <f t="shared" si="41"/>
        <v>4596.8175000000001</v>
      </c>
      <c r="I166" s="17">
        <f t="shared" si="34"/>
        <v>6.7965114302649104E-3</v>
      </c>
      <c r="J166" s="371"/>
      <c r="K166" s="61"/>
    </row>
    <row r="167" spans="1:11" s="62" customFormat="1" ht="39" customHeight="1" x14ac:dyDescent="0.25">
      <c r="A167" s="566" t="s">
        <v>637</v>
      </c>
      <c r="B167" s="372">
        <v>92986</v>
      </c>
      <c r="C167" s="372" t="s">
        <v>303</v>
      </c>
      <c r="D167" s="129" t="s">
        <v>380</v>
      </c>
      <c r="E167" s="349" t="s">
        <v>153</v>
      </c>
      <c r="F167" s="144">
        <v>83.05</v>
      </c>
      <c r="G167" s="365">
        <v>40.619999999999997</v>
      </c>
      <c r="H167" s="587">
        <f t="shared" si="41"/>
        <v>3373.4909999999995</v>
      </c>
      <c r="I167" s="17">
        <f t="shared" si="34"/>
        <v>4.9877921282269304E-3</v>
      </c>
      <c r="J167" s="371"/>
      <c r="K167" s="61"/>
    </row>
    <row r="168" spans="1:11" s="62" customFormat="1" ht="39" customHeight="1" x14ac:dyDescent="0.25">
      <c r="A168" s="29" t="s">
        <v>638</v>
      </c>
      <c r="B168" s="372">
        <v>101567</v>
      </c>
      <c r="C168" s="372" t="s">
        <v>303</v>
      </c>
      <c r="D168" s="129" t="s">
        <v>381</v>
      </c>
      <c r="E168" s="349" t="s">
        <v>153</v>
      </c>
      <c r="F168" s="144">
        <v>15</v>
      </c>
      <c r="G168" s="365">
        <v>100.44</v>
      </c>
      <c r="H168" s="587">
        <f t="shared" si="41"/>
        <v>1506.6</v>
      </c>
      <c r="I168" s="17">
        <f t="shared" si="34"/>
        <v>2.2275463667716009E-3</v>
      </c>
      <c r="J168" s="371"/>
      <c r="K168" s="61"/>
    </row>
    <row r="169" spans="1:11" s="62" customFormat="1" ht="39" customHeight="1" x14ac:dyDescent="0.25">
      <c r="A169" s="566" t="s">
        <v>639</v>
      </c>
      <c r="B169" s="372">
        <v>101567</v>
      </c>
      <c r="C169" s="372" t="s">
        <v>303</v>
      </c>
      <c r="D169" s="129" t="s">
        <v>382</v>
      </c>
      <c r="E169" s="349" t="s">
        <v>153</v>
      </c>
      <c r="F169" s="144">
        <v>5</v>
      </c>
      <c r="G169" s="365">
        <v>100.44</v>
      </c>
      <c r="H169" s="587">
        <f t="shared" si="41"/>
        <v>502.2</v>
      </c>
      <c r="I169" s="17">
        <f t="shared" si="34"/>
        <v>7.4251545559053363E-4</v>
      </c>
      <c r="J169" s="371"/>
      <c r="K169" s="61"/>
    </row>
    <row r="170" spans="1:11" s="62" customFormat="1" ht="39" customHeight="1" x14ac:dyDescent="0.25">
      <c r="A170" s="29" t="s">
        <v>640</v>
      </c>
      <c r="B170" s="372">
        <v>101565</v>
      </c>
      <c r="C170" s="372" t="s">
        <v>303</v>
      </c>
      <c r="D170" s="129" t="s">
        <v>383</v>
      </c>
      <c r="E170" s="349" t="s">
        <v>153</v>
      </c>
      <c r="F170" s="144">
        <v>5</v>
      </c>
      <c r="G170" s="365">
        <v>77.38</v>
      </c>
      <c r="H170" s="587">
        <f t="shared" si="41"/>
        <v>386.9</v>
      </c>
      <c r="I170" s="17">
        <f t="shared" ref="I170:I201" si="42">H170/$H$222</f>
        <v>5.7204147703699207E-4</v>
      </c>
      <c r="J170" s="371"/>
      <c r="K170" s="61"/>
    </row>
    <row r="171" spans="1:11" s="62" customFormat="1" ht="18" x14ac:dyDescent="0.25">
      <c r="A171" s="566" t="s">
        <v>641</v>
      </c>
      <c r="B171" s="372">
        <v>9689</v>
      </c>
      <c r="C171" s="372" t="s">
        <v>304</v>
      </c>
      <c r="D171" s="129" t="s">
        <v>414</v>
      </c>
      <c r="E171" s="349" t="s">
        <v>2</v>
      </c>
      <c r="F171" s="144">
        <v>2</v>
      </c>
      <c r="G171" s="365">
        <v>969.83</v>
      </c>
      <c r="H171" s="587">
        <f t="shared" si="41"/>
        <v>1939.66</v>
      </c>
      <c r="I171" s="17">
        <f t="shared" si="42"/>
        <v>2.8678365762459866E-3</v>
      </c>
      <c r="J171" s="371"/>
      <c r="K171" s="61"/>
    </row>
    <row r="172" spans="1:11" s="62" customFormat="1" ht="18" x14ac:dyDescent="0.25">
      <c r="A172" s="29" t="s">
        <v>642</v>
      </c>
      <c r="B172" s="372">
        <v>13174</v>
      </c>
      <c r="C172" s="372" t="s">
        <v>304</v>
      </c>
      <c r="D172" s="129" t="s">
        <v>384</v>
      </c>
      <c r="E172" s="349" t="s">
        <v>2</v>
      </c>
      <c r="F172" s="144">
        <v>4</v>
      </c>
      <c r="G172" s="365">
        <v>72.22</v>
      </c>
      <c r="H172" s="587">
        <f t="shared" si="41"/>
        <v>288.88</v>
      </c>
      <c r="I172" s="17">
        <f t="shared" si="42"/>
        <v>4.2711641738549054E-4</v>
      </c>
      <c r="J172" s="371"/>
      <c r="K172" s="61"/>
    </row>
    <row r="173" spans="1:11" s="62" customFormat="1" ht="18" x14ac:dyDescent="0.25">
      <c r="A173" s="566" t="s">
        <v>643</v>
      </c>
      <c r="B173" s="372">
        <v>9688</v>
      </c>
      <c r="C173" s="372" t="s">
        <v>304</v>
      </c>
      <c r="D173" s="129" t="s">
        <v>385</v>
      </c>
      <c r="E173" s="349" t="s">
        <v>2</v>
      </c>
      <c r="F173" s="144">
        <v>4</v>
      </c>
      <c r="G173" s="365">
        <v>566.83000000000004</v>
      </c>
      <c r="H173" s="587">
        <f t="shared" si="41"/>
        <v>2267.3200000000002</v>
      </c>
      <c r="I173" s="17">
        <f t="shared" si="42"/>
        <v>3.3522902086211247E-3</v>
      </c>
      <c r="J173" s="371"/>
      <c r="K173" s="61"/>
    </row>
    <row r="174" spans="1:11" s="62" customFormat="1" ht="18" x14ac:dyDescent="0.25">
      <c r="A174" s="29" t="s">
        <v>644</v>
      </c>
      <c r="B174" s="372">
        <v>9723</v>
      </c>
      <c r="C174" s="372" t="s">
        <v>304</v>
      </c>
      <c r="D174" s="129" t="s">
        <v>386</v>
      </c>
      <c r="E174" s="349" t="s">
        <v>2</v>
      </c>
      <c r="F174" s="144">
        <v>2</v>
      </c>
      <c r="G174" s="365">
        <v>123.35</v>
      </c>
      <c r="H174" s="587">
        <f t="shared" si="41"/>
        <v>246.7</v>
      </c>
      <c r="I174" s="17">
        <f t="shared" si="42"/>
        <v>3.6475221603780292E-4</v>
      </c>
      <c r="J174" s="371"/>
      <c r="K174" s="61"/>
    </row>
    <row r="175" spans="1:11" s="62" customFormat="1" ht="18" x14ac:dyDescent="0.25">
      <c r="A175" s="566" t="s">
        <v>645</v>
      </c>
      <c r="B175" s="372">
        <v>3996</v>
      </c>
      <c r="C175" s="372" t="s">
        <v>304</v>
      </c>
      <c r="D175" s="129" t="s">
        <v>387</v>
      </c>
      <c r="E175" s="349" t="s">
        <v>2</v>
      </c>
      <c r="F175" s="144">
        <v>5</v>
      </c>
      <c r="G175" s="365">
        <v>7.69</v>
      </c>
      <c r="H175" s="587">
        <f t="shared" si="41"/>
        <v>38.450000000000003</v>
      </c>
      <c r="I175" s="17">
        <f t="shared" si="42"/>
        <v>5.6849301607837552E-5</v>
      </c>
      <c r="J175" s="371"/>
      <c r="K175" s="61"/>
    </row>
    <row r="176" spans="1:11" s="62" customFormat="1" ht="18" x14ac:dyDescent="0.25">
      <c r="A176" s="29" t="s">
        <v>646</v>
      </c>
      <c r="B176" s="372" t="s">
        <v>164</v>
      </c>
      <c r="C176" s="372" t="s">
        <v>164</v>
      </c>
      <c r="D176" s="129" t="str">
        <f>COMPOSIÇÕES!D232</f>
        <v>ELETROCALHA METÁLICA PERFURADA 300X50X3000</v>
      </c>
      <c r="E176" s="349" t="s">
        <v>2</v>
      </c>
      <c r="F176" s="144">
        <f>15/3</f>
        <v>5</v>
      </c>
      <c r="G176" s="365">
        <f>COMPOSIÇÕES!H236</f>
        <v>107.89400000000001</v>
      </c>
      <c r="H176" s="587">
        <f t="shared" si="41"/>
        <v>539.47</v>
      </c>
      <c r="I176" s="17">
        <f t="shared" si="42"/>
        <v>7.9762009722705136E-4</v>
      </c>
      <c r="J176" s="371"/>
      <c r="K176" s="61"/>
    </row>
    <row r="177" spans="1:11" s="62" customFormat="1" ht="39" customHeight="1" x14ac:dyDescent="0.25">
      <c r="A177" s="566" t="s">
        <v>647</v>
      </c>
      <c r="B177" s="372" t="s">
        <v>164</v>
      </c>
      <c r="C177" s="372" t="s">
        <v>164</v>
      </c>
      <c r="D177" s="129" t="str">
        <f>COMPOSIÇÕES!D246</f>
        <v>CURVA VERTICAL EXTERNA 90º, PARA ELETROC ALHA PERFURADA OU LISA, 300X50MM, PRE-ZI NCADA</v>
      </c>
      <c r="E177" s="349" t="s">
        <v>2</v>
      </c>
      <c r="F177" s="144">
        <v>3</v>
      </c>
      <c r="G177" s="365">
        <f>COMPOSIÇÕES!H250</f>
        <v>41.421999999999997</v>
      </c>
      <c r="H177" s="587">
        <f t="shared" si="41"/>
        <v>124.26599999999999</v>
      </c>
      <c r="I177" s="17">
        <f t="shared" si="42"/>
        <v>1.8373043728477347E-4</v>
      </c>
      <c r="J177" s="371"/>
      <c r="K177" s="61"/>
    </row>
    <row r="178" spans="1:11" s="62" customFormat="1" ht="39" customHeight="1" x14ac:dyDescent="0.25">
      <c r="A178" s="29" t="s">
        <v>648</v>
      </c>
      <c r="B178" s="372" t="s">
        <v>164</v>
      </c>
      <c r="C178" s="372" t="s">
        <v>164</v>
      </c>
      <c r="D178" s="129" t="str">
        <f>COMPOSIÇÕES!D239</f>
        <v>CURVA HORIZONTAL, 90°, PARA ELETROCALHA PERFURADA OU LISA 50X300MM , PRÉ ZINCADA</v>
      </c>
      <c r="E178" s="349" t="s">
        <v>2</v>
      </c>
      <c r="F178" s="144">
        <v>9</v>
      </c>
      <c r="G178" s="365">
        <f>COMPOSIÇÕES!H243</f>
        <v>60.602000000000004</v>
      </c>
      <c r="H178" s="587">
        <f t="shared" si="41"/>
        <v>545.41800000000001</v>
      </c>
      <c r="I178" s="17">
        <f t="shared" si="42"/>
        <v>8.0641436630282291E-4</v>
      </c>
      <c r="J178" s="371"/>
      <c r="K178" s="61"/>
    </row>
    <row r="179" spans="1:11" s="62" customFormat="1" ht="18" x14ac:dyDescent="0.25">
      <c r="A179" s="566" t="s">
        <v>649</v>
      </c>
      <c r="B179" s="372" t="s">
        <v>164</v>
      </c>
      <c r="C179" s="372" t="s">
        <v>164</v>
      </c>
      <c r="D179" s="129" t="str">
        <f>COMPOSIÇÕES!D253</f>
        <v>TE HORIZONTAL 90°, PARA ELETROCALHA PERF URADA OU LISA, 300X50MM, PRE-ZINCADA</v>
      </c>
      <c r="E179" s="349" t="s">
        <v>2</v>
      </c>
      <c r="F179" s="144">
        <v>1</v>
      </c>
      <c r="G179" s="365">
        <f>COMPOSIÇÕES!H257</f>
        <v>85.694999999999993</v>
      </c>
      <c r="H179" s="587">
        <f t="shared" si="41"/>
        <v>85.694999999999993</v>
      </c>
      <c r="I179" s="17">
        <f t="shared" si="42"/>
        <v>1.2670223410360569E-4</v>
      </c>
      <c r="J179" s="371"/>
      <c r="K179" s="61"/>
    </row>
    <row r="180" spans="1:11" s="62" customFormat="1" ht="18" x14ac:dyDescent="0.25">
      <c r="A180" s="29" t="s">
        <v>650</v>
      </c>
      <c r="B180" s="372">
        <v>8007</v>
      </c>
      <c r="C180" s="372" t="s">
        <v>304</v>
      </c>
      <c r="D180" s="129" t="s">
        <v>388</v>
      </c>
      <c r="E180" s="349" t="s">
        <v>2</v>
      </c>
      <c r="F180" s="144">
        <v>4</v>
      </c>
      <c r="G180" s="365">
        <v>2.2000000000000002</v>
      </c>
      <c r="H180" s="587">
        <f t="shared" si="41"/>
        <v>8.8000000000000007</v>
      </c>
      <c r="I180" s="17">
        <f t="shared" si="42"/>
        <v>1.3011023514927711E-5</v>
      </c>
      <c r="J180" s="371"/>
      <c r="K180" s="61"/>
    </row>
    <row r="181" spans="1:11" s="62" customFormat="1" ht="18" x14ac:dyDescent="0.25">
      <c r="A181" s="566" t="s">
        <v>651</v>
      </c>
      <c r="B181" s="372">
        <v>7928</v>
      </c>
      <c r="C181" s="372" t="s">
        <v>304</v>
      </c>
      <c r="D181" s="129" t="s">
        <v>407</v>
      </c>
      <c r="E181" s="349" t="s">
        <v>2</v>
      </c>
      <c r="F181" s="144">
        <v>5</v>
      </c>
      <c r="G181" s="365">
        <v>4.32</v>
      </c>
      <c r="H181" s="587">
        <f t="shared" si="41"/>
        <v>21.6</v>
      </c>
      <c r="I181" s="17">
        <f t="shared" si="42"/>
        <v>3.1936148627549836E-5</v>
      </c>
      <c r="J181" s="371"/>
      <c r="K181" s="61"/>
    </row>
    <row r="182" spans="1:11" s="62" customFormat="1" ht="72" x14ac:dyDescent="0.25">
      <c r="A182" s="29" t="s">
        <v>652</v>
      </c>
      <c r="B182" s="372" t="s">
        <v>164</v>
      </c>
      <c r="C182" s="391" t="s">
        <v>164</v>
      </c>
      <c r="D182" s="129" t="s">
        <v>558</v>
      </c>
      <c r="E182" s="349" t="s">
        <v>2</v>
      </c>
      <c r="F182" s="144">
        <v>1</v>
      </c>
      <c r="G182" s="16">
        <f>COMPOSIÇÕES!H265</f>
        <v>3783.5699999999997</v>
      </c>
      <c r="H182" s="587">
        <f t="shared" si="41"/>
        <v>3783.5699999999997</v>
      </c>
      <c r="I182" s="17">
        <f t="shared" si="42"/>
        <v>5.5941043454971629E-3</v>
      </c>
      <c r="J182" s="371"/>
      <c r="K182" s="61"/>
    </row>
    <row r="183" spans="1:11" s="62" customFormat="1" ht="36" x14ac:dyDescent="0.25">
      <c r="A183" s="566" t="s">
        <v>653</v>
      </c>
      <c r="B183" s="377">
        <v>90458</v>
      </c>
      <c r="C183" s="555" t="s">
        <v>303</v>
      </c>
      <c r="D183" s="360" t="s">
        <v>512</v>
      </c>
      <c r="E183" s="359" t="s">
        <v>2</v>
      </c>
      <c r="F183" s="153">
        <v>1</v>
      </c>
      <c r="G183" s="427">
        <v>41.62</v>
      </c>
      <c r="H183" s="587">
        <f t="shared" si="41"/>
        <v>41.62</v>
      </c>
      <c r="I183" s="17">
        <f t="shared" si="42"/>
        <v>6.153622712401037E-5</v>
      </c>
      <c r="J183" s="371"/>
      <c r="K183" s="61"/>
    </row>
    <row r="184" spans="1:11" s="62" customFormat="1" ht="18.75" thickBot="1" x14ac:dyDescent="0.3">
      <c r="A184" s="29" t="s">
        <v>654</v>
      </c>
      <c r="B184" s="377">
        <v>7923</v>
      </c>
      <c r="C184" s="377" t="s">
        <v>304</v>
      </c>
      <c r="D184" s="358" t="s">
        <v>506</v>
      </c>
      <c r="E184" s="359" t="s">
        <v>2</v>
      </c>
      <c r="F184" s="153">
        <v>6</v>
      </c>
      <c r="G184" s="427">
        <v>6.29</v>
      </c>
      <c r="H184" s="588">
        <f t="shared" si="41"/>
        <v>37.74</v>
      </c>
      <c r="I184" s="17">
        <f t="shared" si="42"/>
        <v>5.5799548574246791E-5</v>
      </c>
      <c r="J184" s="371"/>
      <c r="K184" s="61"/>
    </row>
    <row r="185" spans="1:11" s="62" customFormat="1" ht="18.75" thickBot="1" x14ac:dyDescent="0.3">
      <c r="A185" s="411">
        <v>12</v>
      </c>
      <c r="B185" s="412"/>
      <c r="C185" s="412"/>
      <c r="D185" s="413" t="s">
        <v>250</v>
      </c>
      <c r="E185" s="414"/>
      <c r="F185" s="425"/>
      <c r="G185" s="423"/>
      <c r="H185" s="606">
        <f>SUM(H186:H187)</f>
        <v>1545.8794</v>
      </c>
      <c r="I185" s="17">
        <f t="shared" si="42"/>
        <v>2.2856219573457203E-3</v>
      </c>
      <c r="J185" s="371"/>
      <c r="K185" s="61"/>
    </row>
    <row r="186" spans="1:11" s="62" customFormat="1" ht="18" customHeight="1" x14ac:dyDescent="0.25">
      <c r="A186" s="29" t="s">
        <v>240</v>
      </c>
      <c r="B186" s="390">
        <v>10097</v>
      </c>
      <c r="C186" s="390" t="s">
        <v>304</v>
      </c>
      <c r="D186" s="148" t="s">
        <v>251</v>
      </c>
      <c r="E186" s="356" t="s">
        <v>1</v>
      </c>
      <c r="F186" s="142">
        <v>38.380000000000003</v>
      </c>
      <c r="G186" s="429">
        <v>34.869999999999997</v>
      </c>
      <c r="H186" s="611">
        <f>G186*F186</f>
        <v>1338.3106</v>
      </c>
      <c r="I186" s="17">
        <f t="shared" si="42"/>
        <v>1.9787262144178425E-3</v>
      </c>
      <c r="J186" s="371"/>
      <c r="K186" s="61"/>
    </row>
    <row r="187" spans="1:11" s="62" customFormat="1" ht="18" customHeight="1" thickBot="1" x14ac:dyDescent="0.3">
      <c r="A187" s="565" t="s">
        <v>323</v>
      </c>
      <c r="B187" s="377">
        <v>2266</v>
      </c>
      <c r="C187" s="407" t="s">
        <v>304</v>
      </c>
      <c r="D187" s="354" t="s">
        <v>398</v>
      </c>
      <c r="E187" s="359" t="s">
        <v>153</v>
      </c>
      <c r="F187" s="153">
        <v>2.27</v>
      </c>
      <c r="G187" s="345">
        <v>91.44</v>
      </c>
      <c r="H187" s="588">
        <f>G187*F187</f>
        <v>207.56880000000001</v>
      </c>
      <c r="I187" s="17">
        <f t="shared" si="42"/>
        <v>3.0689574292787808E-4</v>
      </c>
      <c r="J187" s="371"/>
      <c r="K187" s="61"/>
    </row>
    <row r="188" spans="1:11" s="62" customFormat="1" ht="18.75" thickBot="1" x14ac:dyDescent="0.3">
      <c r="A188" s="411">
        <v>13</v>
      </c>
      <c r="B188" s="412"/>
      <c r="C188" s="412"/>
      <c r="D188" s="413" t="s">
        <v>701</v>
      </c>
      <c r="E188" s="414"/>
      <c r="F188" s="425"/>
      <c r="G188" s="423"/>
      <c r="H188" s="606">
        <f>SUM(H189:H194)</f>
        <v>6352.1775480000006</v>
      </c>
      <c r="I188" s="17">
        <f t="shared" si="42"/>
        <v>9.3918558463663461E-3</v>
      </c>
      <c r="J188" s="371"/>
      <c r="K188" s="61"/>
    </row>
    <row r="189" spans="1:11" s="62" customFormat="1" ht="18" customHeight="1" x14ac:dyDescent="0.25">
      <c r="A189" s="29" t="s">
        <v>275</v>
      </c>
      <c r="B189" s="390" t="s">
        <v>164</v>
      </c>
      <c r="C189" s="391" t="s">
        <v>164</v>
      </c>
      <c r="D189" s="362" t="s">
        <v>262</v>
      </c>
      <c r="E189" s="356" t="s">
        <v>2</v>
      </c>
      <c r="F189" s="142">
        <v>1</v>
      </c>
      <c r="G189" s="344">
        <f>COMPOSIÇÕES!H278</f>
        <v>4415</v>
      </c>
      <c r="H189" s="611">
        <f>G189*F189</f>
        <v>4415</v>
      </c>
      <c r="I189" s="17">
        <f t="shared" si="42"/>
        <v>6.5276896384552086E-3</v>
      </c>
      <c r="J189" s="371"/>
      <c r="K189" s="61"/>
    </row>
    <row r="190" spans="1:11" s="62" customFormat="1" ht="36" x14ac:dyDescent="0.25">
      <c r="A190" s="566" t="s">
        <v>655</v>
      </c>
      <c r="B190" s="372">
        <v>10719</v>
      </c>
      <c r="C190" s="372" t="s">
        <v>304</v>
      </c>
      <c r="D190" s="355" t="s">
        <v>260</v>
      </c>
      <c r="E190" s="349" t="s">
        <v>2</v>
      </c>
      <c r="F190" s="144">
        <v>24</v>
      </c>
      <c r="G190" s="16">
        <v>52.82</v>
      </c>
      <c r="H190" s="587">
        <f>G190*F190</f>
        <v>1267.68</v>
      </c>
      <c r="I190" s="17">
        <f t="shared" si="42"/>
        <v>1.8742970783413137E-3</v>
      </c>
      <c r="J190" s="371"/>
      <c r="K190" s="61"/>
    </row>
    <row r="191" spans="1:11" s="62" customFormat="1" ht="18" x14ac:dyDescent="0.25">
      <c r="A191" s="29" t="s">
        <v>656</v>
      </c>
      <c r="B191" s="377">
        <v>99814</v>
      </c>
      <c r="C191" s="377" t="s">
        <v>303</v>
      </c>
      <c r="D191" s="151" t="s">
        <v>389</v>
      </c>
      <c r="E191" s="349" t="s">
        <v>1</v>
      </c>
      <c r="F191" s="144">
        <v>5</v>
      </c>
      <c r="G191" s="16">
        <v>2.23</v>
      </c>
      <c r="H191" s="587">
        <f>G191*F191</f>
        <v>11.15</v>
      </c>
      <c r="I191" s="17">
        <f t="shared" si="42"/>
        <v>1.6485558203573176E-5</v>
      </c>
      <c r="J191" s="371"/>
      <c r="K191" s="61"/>
    </row>
    <row r="192" spans="1:11" s="62" customFormat="1" ht="42.75" customHeight="1" x14ac:dyDescent="0.25">
      <c r="A192" s="29" t="s">
        <v>657</v>
      </c>
      <c r="B192" s="377">
        <v>10710</v>
      </c>
      <c r="C192" s="377" t="s">
        <v>304</v>
      </c>
      <c r="D192" s="354" t="s">
        <v>246</v>
      </c>
      <c r="E192" s="359" t="s">
        <v>1</v>
      </c>
      <c r="F192" s="153">
        <v>1.91</v>
      </c>
      <c r="G192" s="345">
        <v>154.66999999999999</v>
      </c>
      <c r="H192" s="588">
        <f>G192*F192</f>
        <v>295.41969999999998</v>
      </c>
      <c r="I192" s="17">
        <f t="shared" si="42"/>
        <v>4.3678552994010105E-4</v>
      </c>
      <c r="J192" s="371"/>
      <c r="K192" s="61"/>
    </row>
    <row r="193" spans="1:11" s="62" customFormat="1" ht="36.75" customHeight="1" x14ac:dyDescent="0.25">
      <c r="A193" s="566" t="s">
        <v>702</v>
      </c>
      <c r="B193" s="372">
        <v>11622</v>
      </c>
      <c r="C193" s="372" t="s">
        <v>304</v>
      </c>
      <c r="D193" s="126" t="s">
        <v>700</v>
      </c>
      <c r="E193" s="349" t="s">
        <v>153</v>
      </c>
      <c r="F193" s="144">
        <f>12*0.2</f>
        <v>2.4000000000000004</v>
      </c>
      <c r="G193" s="16">
        <v>46.02</v>
      </c>
      <c r="H193" s="587">
        <f>F193*G193</f>
        <v>110.44800000000002</v>
      </c>
      <c r="I193" s="17">
        <f t="shared" si="42"/>
        <v>1.6330017331553818E-4</v>
      </c>
      <c r="J193" s="618"/>
      <c r="K193" s="61"/>
    </row>
    <row r="194" spans="1:11" s="62" customFormat="1" ht="18.75" thickBot="1" x14ac:dyDescent="0.3">
      <c r="A194" s="29" t="s">
        <v>703</v>
      </c>
      <c r="B194" s="372" t="s">
        <v>164</v>
      </c>
      <c r="C194" s="391" t="s">
        <v>164</v>
      </c>
      <c r="D194" s="126" t="s">
        <v>681</v>
      </c>
      <c r="E194" s="349" t="s">
        <v>2</v>
      </c>
      <c r="F194" s="144">
        <v>1</v>
      </c>
      <c r="G194" s="16">
        <f>COMPOSIÇÕES!H285</f>
        <v>252.479848</v>
      </c>
      <c r="H194" s="587">
        <f>F194*G194</f>
        <v>252.479848</v>
      </c>
      <c r="I194" s="17">
        <f t="shared" si="42"/>
        <v>3.7329786811061066E-4</v>
      </c>
      <c r="J194" s="61"/>
      <c r="K194" s="61"/>
    </row>
    <row r="195" spans="1:11" s="62" customFormat="1" ht="18.75" thickBot="1" x14ac:dyDescent="0.3">
      <c r="A195" s="411">
        <v>14</v>
      </c>
      <c r="B195" s="412"/>
      <c r="C195" s="412"/>
      <c r="D195" s="413" t="s">
        <v>273</v>
      </c>
      <c r="E195" s="414"/>
      <c r="F195" s="425"/>
      <c r="G195" s="423"/>
      <c r="H195" s="606">
        <f>SUM(H196:H212)</f>
        <v>51730.725500000008</v>
      </c>
      <c r="I195" s="17">
        <f t="shared" si="42"/>
        <v>7.6485191582360293E-2</v>
      </c>
      <c r="J195" s="371"/>
      <c r="K195" s="61"/>
    </row>
    <row r="196" spans="1:11" s="62" customFormat="1" ht="36" x14ac:dyDescent="0.25">
      <c r="A196" s="29" t="s">
        <v>324</v>
      </c>
      <c r="B196" s="390">
        <v>103246</v>
      </c>
      <c r="C196" s="390" t="s">
        <v>303</v>
      </c>
      <c r="D196" s="148" t="s">
        <v>296</v>
      </c>
      <c r="E196" s="356" t="s">
        <v>2</v>
      </c>
      <c r="F196" s="142">
        <v>1</v>
      </c>
      <c r="G196" s="344">
        <v>2372.59</v>
      </c>
      <c r="H196" s="611">
        <f>G196*F196</f>
        <v>2372.59</v>
      </c>
      <c r="I196" s="17">
        <f t="shared" si="42"/>
        <v>3.5079345774184471E-3</v>
      </c>
      <c r="J196" s="371"/>
      <c r="K196" s="61"/>
    </row>
    <row r="197" spans="1:11" s="62" customFormat="1" ht="36" x14ac:dyDescent="0.25">
      <c r="A197" s="566" t="s">
        <v>498</v>
      </c>
      <c r="B197" s="390">
        <v>103262</v>
      </c>
      <c r="C197" s="391" t="s">
        <v>303</v>
      </c>
      <c r="D197" s="148" t="s">
        <v>438</v>
      </c>
      <c r="E197" s="356" t="s">
        <v>2</v>
      </c>
      <c r="F197" s="142">
        <v>2</v>
      </c>
      <c r="G197" s="357">
        <v>8959.89</v>
      </c>
      <c r="H197" s="587">
        <f t="shared" ref="H197:H209" si="43">G197*F197</f>
        <v>17919.78</v>
      </c>
      <c r="I197" s="17">
        <f t="shared" si="42"/>
        <v>2.6494849882083098E-2</v>
      </c>
      <c r="J197" s="371"/>
      <c r="K197" s="61"/>
    </row>
    <row r="198" spans="1:11" s="62" customFormat="1" ht="72" x14ac:dyDescent="0.25">
      <c r="A198" s="29" t="s">
        <v>499</v>
      </c>
      <c r="B198" s="390">
        <v>11781</v>
      </c>
      <c r="C198" s="390" t="s">
        <v>304</v>
      </c>
      <c r="D198" s="148" t="s">
        <v>299</v>
      </c>
      <c r="E198" s="356" t="s">
        <v>153</v>
      </c>
      <c r="F198" s="593">
        <v>12.95</v>
      </c>
      <c r="G198" s="16">
        <v>211.58</v>
      </c>
      <c r="H198" s="587">
        <f t="shared" si="43"/>
        <v>2739.9609999999998</v>
      </c>
      <c r="I198" s="17">
        <f t="shared" si="42"/>
        <v>4.0511019319300953E-3</v>
      </c>
      <c r="J198" s="371"/>
      <c r="K198" s="61"/>
    </row>
    <row r="199" spans="1:11" s="62" customFormat="1" ht="72" x14ac:dyDescent="0.25">
      <c r="A199" s="29" t="s">
        <v>500</v>
      </c>
      <c r="B199" s="390">
        <v>11782</v>
      </c>
      <c r="C199" s="390" t="s">
        <v>304</v>
      </c>
      <c r="D199" s="148" t="s">
        <v>298</v>
      </c>
      <c r="E199" s="356" t="s">
        <v>153</v>
      </c>
      <c r="F199" s="593">
        <v>14.4</v>
      </c>
      <c r="G199" s="16">
        <v>64.69</v>
      </c>
      <c r="H199" s="587">
        <f t="shared" si="43"/>
        <v>931.53599999999994</v>
      </c>
      <c r="I199" s="17">
        <f t="shared" si="42"/>
        <v>1.3772996364774658E-3</v>
      </c>
      <c r="J199" s="371"/>
      <c r="K199" s="61"/>
    </row>
    <row r="200" spans="1:11" s="62" customFormat="1" ht="72" x14ac:dyDescent="0.25">
      <c r="A200" s="566" t="s">
        <v>658</v>
      </c>
      <c r="B200" s="391">
        <v>11779</v>
      </c>
      <c r="C200" s="391" t="s">
        <v>304</v>
      </c>
      <c r="D200" s="148" t="s">
        <v>297</v>
      </c>
      <c r="E200" s="356" t="s">
        <v>153</v>
      </c>
      <c r="F200" s="593">
        <v>46.24</v>
      </c>
      <c r="G200" s="16">
        <v>190.98</v>
      </c>
      <c r="H200" s="587">
        <f t="shared" si="43"/>
        <v>8830.9151999999995</v>
      </c>
      <c r="I200" s="17">
        <f t="shared" si="42"/>
        <v>1.305673242335597E-2</v>
      </c>
      <c r="J200" s="371"/>
      <c r="K200" s="61"/>
    </row>
    <row r="201" spans="1:11" s="62" customFormat="1" ht="36" x14ac:dyDescent="0.25">
      <c r="A201" s="29" t="s">
        <v>659</v>
      </c>
      <c r="B201" s="391">
        <v>103289</v>
      </c>
      <c r="C201" s="391" t="s">
        <v>303</v>
      </c>
      <c r="D201" s="148" t="s">
        <v>301</v>
      </c>
      <c r="E201" s="356" t="s">
        <v>153</v>
      </c>
      <c r="F201" s="593">
        <v>105.74</v>
      </c>
      <c r="G201" s="357">
        <v>34.93</v>
      </c>
      <c r="H201" s="587">
        <f t="shared" si="43"/>
        <v>3693.4982</v>
      </c>
      <c r="I201" s="17">
        <f t="shared" si="42"/>
        <v>5.4609309014253598E-3</v>
      </c>
      <c r="J201" s="371"/>
      <c r="K201" s="61"/>
    </row>
    <row r="202" spans="1:11" s="62" customFormat="1" ht="72" x14ac:dyDescent="0.25">
      <c r="A202" s="29" t="s">
        <v>660</v>
      </c>
      <c r="B202" s="391">
        <v>11780</v>
      </c>
      <c r="C202" s="391" t="s">
        <v>304</v>
      </c>
      <c r="D202" s="148" t="s">
        <v>369</v>
      </c>
      <c r="E202" s="356" t="s">
        <v>153</v>
      </c>
      <c r="F202" s="593">
        <v>60.95</v>
      </c>
      <c r="G202" s="357">
        <v>43</v>
      </c>
      <c r="H202" s="587">
        <f t="shared" si="43"/>
        <v>2620.85</v>
      </c>
      <c r="I202" s="17">
        <f t="shared" ref="I202:I233" si="44">H202/$H$222</f>
        <v>3.8749932930793509E-3</v>
      </c>
      <c r="J202" s="371"/>
      <c r="K202" s="61"/>
    </row>
    <row r="203" spans="1:11" s="62" customFormat="1" ht="18" x14ac:dyDescent="0.25">
      <c r="A203" s="566" t="s">
        <v>661</v>
      </c>
      <c r="B203" s="391">
        <v>11412</v>
      </c>
      <c r="C203" s="391" t="s">
        <v>304</v>
      </c>
      <c r="D203" s="148" t="s">
        <v>300</v>
      </c>
      <c r="E203" s="356" t="s">
        <v>153</v>
      </c>
      <c r="F203" s="142">
        <f>24*1.1</f>
        <v>26.400000000000002</v>
      </c>
      <c r="G203" s="357">
        <v>15.54</v>
      </c>
      <c r="H203" s="587">
        <f t="shared" si="43"/>
        <v>410.25600000000003</v>
      </c>
      <c r="I203" s="17">
        <f t="shared" si="44"/>
        <v>6.0657391626592989E-4</v>
      </c>
      <c r="J203" s="371"/>
      <c r="K203" s="61"/>
    </row>
    <row r="204" spans="1:11" s="62" customFormat="1" ht="36" x14ac:dyDescent="0.25">
      <c r="A204" s="29" t="s">
        <v>662</v>
      </c>
      <c r="B204" s="391">
        <v>104316</v>
      </c>
      <c r="C204" s="391" t="s">
        <v>303</v>
      </c>
      <c r="D204" s="400" t="s">
        <v>313</v>
      </c>
      <c r="E204" s="356" t="s">
        <v>153</v>
      </c>
      <c r="F204" s="142">
        <v>110.13</v>
      </c>
      <c r="G204" s="357">
        <v>23.91</v>
      </c>
      <c r="H204" s="587">
        <f t="shared" si="43"/>
        <v>2633.2082999999998</v>
      </c>
      <c r="I204" s="17">
        <f t="shared" ref="I204:I221" si="45">H204/$H$222</f>
        <v>3.8932653535230471E-3</v>
      </c>
      <c r="J204" s="371"/>
      <c r="K204" s="61"/>
    </row>
    <row r="205" spans="1:11" s="62" customFormat="1" ht="18" x14ac:dyDescent="0.25">
      <c r="A205" s="29" t="s">
        <v>663</v>
      </c>
      <c r="B205" s="391">
        <v>1533</v>
      </c>
      <c r="C205" s="391" t="s">
        <v>304</v>
      </c>
      <c r="D205" s="362" t="s">
        <v>315</v>
      </c>
      <c r="E205" s="356" t="s">
        <v>153</v>
      </c>
      <c r="F205" s="142">
        <f>2.83*9</f>
        <v>25.47</v>
      </c>
      <c r="G205" s="357">
        <v>61.64</v>
      </c>
      <c r="H205" s="587">
        <f t="shared" si="43"/>
        <v>1569.9708000000001</v>
      </c>
      <c r="I205" s="17">
        <f t="shared" si="45"/>
        <v>2.3212417041533944E-3</v>
      </c>
      <c r="J205" s="371"/>
      <c r="K205" s="61"/>
    </row>
    <row r="206" spans="1:11" s="62" customFormat="1" ht="36" x14ac:dyDescent="0.25">
      <c r="A206" s="566" t="s">
        <v>664</v>
      </c>
      <c r="B206" s="391">
        <v>89854</v>
      </c>
      <c r="C206" s="391" t="s">
        <v>303</v>
      </c>
      <c r="D206" s="362" t="s">
        <v>327</v>
      </c>
      <c r="E206" s="356" t="s">
        <v>2</v>
      </c>
      <c r="F206" s="142">
        <v>9</v>
      </c>
      <c r="G206" s="357">
        <v>95.33</v>
      </c>
      <c r="H206" s="587">
        <f t="shared" si="43"/>
        <v>857.97</v>
      </c>
      <c r="I206" s="17">
        <f t="shared" si="45"/>
        <v>1.268530436943469E-3</v>
      </c>
      <c r="J206" s="371"/>
      <c r="K206" s="61"/>
    </row>
    <row r="207" spans="1:11" s="62" customFormat="1" ht="18" x14ac:dyDescent="0.25">
      <c r="A207" s="29" t="s">
        <v>665</v>
      </c>
      <c r="B207" s="391">
        <v>4883</v>
      </c>
      <c r="C207" s="391" t="s">
        <v>304</v>
      </c>
      <c r="D207" s="362" t="s">
        <v>316</v>
      </c>
      <c r="E207" s="356" t="s">
        <v>2</v>
      </c>
      <c r="F207" s="142">
        <v>2</v>
      </c>
      <c r="G207" s="368">
        <v>663.03</v>
      </c>
      <c r="H207" s="587">
        <f t="shared" si="43"/>
        <v>1326.06</v>
      </c>
      <c r="I207" s="17">
        <f t="shared" si="45"/>
        <v>1.9606133911596632E-3</v>
      </c>
      <c r="J207" s="371"/>
      <c r="K207" s="61"/>
    </row>
    <row r="208" spans="1:11" s="62" customFormat="1" ht="18" x14ac:dyDescent="0.25">
      <c r="A208" s="29" t="s">
        <v>666</v>
      </c>
      <c r="B208" s="391" t="s">
        <v>354</v>
      </c>
      <c r="C208" s="391" t="s">
        <v>233</v>
      </c>
      <c r="D208" s="362" t="s">
        <v>302</v>
      </c>
      <c r="E208" s="356" t="s">
        <v>2</v>
      </c>
      <c r="F208" s="142">
        <f>15*4</f>
        <v>60</v>
      </c>
      <c r="G208" s="357">
        <f>COMPOSIÇÕES!H107</f>
        <v>9.2579999999999991</v>
      </c>
      <c r="H208" s="587">
        <f t="shared" si="43"/>
        <v>555.4799999999999</v>
      </c>
      <c r="I208" s="17">
        <f t="shared" si="45"/>
        <v>8.2129128887182309E-4</v>
      </c>
      <c r="J208" s="371"/>
      <c r="K208" s="61"/>
    </row>
    <row r="209" spans="1:15" s="62" customFormat="1" ht="18" x14ac:dyDescent="0.25">
      <c r="A209" s="566" t="s">
        <v>667</v>
      </c>
      <c r="B209" s="391">
        <v>11509</v>
      </c>
      <c r="C209" s="391" t="s">
        <v>304</v>
      </c>
      <c r="D209" s="148" t="s">
        <v>311</v>
      </c>
      <c r="E209" s="356" t="s">
        <v>193</v>
      </c>
      <c r="F209" s="144">
        <v>3</v>
      </c>
      <c r="G209" s="357">
        <v>42.92</v>
      </c>
      <c r="H209" s="587">
        <f t="shared" si="43"/>
        <v>128.76</v>
      </c>
      <c r="I209" s="17">
        <f t="shared" si="45"/>
        <v>1.9037493042978315E-4</v>
      </c>
      <c r="J209" s="371"/>
      <c r="K209" s="61"/>
    </row>
    <row r="210" spans="1:15" s="62" customFormat="1" ht="36" x14ac:dyDescent="0.25">
      <c r="A210" s="29" t="s">
        <v>668</v>
      </c>
      <c r="B210" s="373">
        <v>13271</v>
      </c>
      <c r="C210" s="373" t="s">
        <v>304</v>
      </c>
      <c r="D210" s="150" t="s">
        <v>370</v>
      </c>
      <c r="E210" s="349" t="s">
        <v>2</v>
      </c>
      <c r="F210" s="144">
        <v>3</v>
      </c>
      <c r="G210" s="16">
        <v>352.81</v>
      </c>
      <c r="H210" s="587">
        <f>F210*G210</f>
        <v>1058.43</v>
      </c>
      <c r="I210" s="17">
        <f t="shared" si="45"/>
        <v>1.5649156385119246E-3</v>
      </c>
      <c r="J210" s="371"/>
      <c r="K210" s="61"/>
    </row>
    <row r="211" spans="1:15" s="62" customFormat="1" ht="54" x14ac:dyDescent="0.25">
      <c r="A211" s="29" t="s">
        <v>669</v>
      </c>
      <c r="B211" s="373">
        <v>13274</v>
      </c>
      <c r="C211" s="373" t="s">
        <v>304</v>
      </c>
      <c r="D211" s="150" t="s">
        <v>436</v>
      </c>
      <c r="E211" s="349" t="s">
        <v>2</v>
      </c>
      <c r="F211" s="144">
        <v>9</v>
      </c>
      <c r="G211" s="16">
        <v>386.71</v>
      </c>
      <c r="H211" s="587">
        <f>F211*G211</f>
        <v>3480.39</v>
      </c>
      <c r="I211" s="17">
        <f t="shared" si="45"/>
        <v>5.1458450148999151E-3</v>
      </c>
      <c r="J211" s="371"/>
      <c r="K211" s="61"/>
    </row>
    <row r="212" spans="1:15" s="62" customFormat="1" ht="54.75" thickBot="1" x14ac:dyDescent="0.3">
      <c r="A212" s="566" t="s">
        <v>670</v>
      </c>
      <c r="B212" s="373">
        <v>13310</v>
      </c>
      <c r="C212" s="373" t="s">
        <v>304</v>
      </c>
      <c r="D212" s="150" t="s">
        <v>437</v>
      </c>
      <c r="E212" s="349" t="s">
        <v>2</v>
      </c>
      <c r="F212" s="144">
        <v>1</v>
      </c>
      <c r="G212" s="16">
        <v>601.07000000000005</v>
      </c>
      <c r="H212" s="587">
        <f t="shared" ref="H212" si="46">F212*G212</f>
        <v>601.07000000000005</v>
      </c>
      <c r="I212" s="17">
        <f t="shared" si="45"/>
        <v>8.886972618315453E-4</v>
      </c>
      <c r="J212" s="371"/>
      <c r="K212" s="61"/>
    </row>
    <row r="213" spans="1:15" s="62" customFormat="1" ht="18" customHeight="1" thickBot="1" x14ac:dyDescent="0.3">
      <c r="A213" s="411">
        <v>15</v>
      </c>
      <c r="B213" s="412"/>
      <c r="C213" s="412"/>
      <c r="D213" s="413" t="s">
        <v>190</v>
      </c>
      <c r="E213" s="414"/>
      <c r="F213" s="425"/>
      <c r="G213" s="423"/>
      <c r="H213" s="606">
        <f>SUM(H214:H214)</f>
        <v>6127.48</v>
      </c>
      <c r="I213" s="17">
        <f t="shared" si="45"/>
        <v>9.0596348144601404E-3</v>
      </c>
    </row>
    <row r="214" spans="1:15" s="62" customFormat="1" ht="36.75" thickBot="1" x14ac:dyDescent="0.3">
      <c r="A214" s="565" t="s">
        <v>671</v>
      </c>
      <c r="B214" s="377" t="s">
        <v>164</v>
      </c>
      <c r="C214" s="407" t="s">
        <v>164</v>
      </c>
      <c r="D214" s="360" t="str">
        <f>COMPOSIÇÕES!D45</f>
        <v>PONTO DE TOMADA DUPLA PARA LÓGICA LINHA CONDULETE TOP TIGRE OU SIMILAR - FORNECIMENTO E INSTALAÇÃO</v>
      </c>
      <c r="E214" s="359" t="s">
        <v>2</v>
      </c>
      <c r="F214" s="153">
        <v>17</v>
      </c>
      <c r="G214" s="345">
        <f>COMPOSIÇÕES!H54</f>
        <v>360.44</v>
      </c>
      <c r="H214" s="614">
        <f>F214*G214</f>
        <v>6127.48</v>
      </c>
      <c r="I214" s="17">
        <f t="shared" si="45"/>
        <v>9.0596348144601404E-3</v>
      </c>
    </row>
    <row r="215" spans="1:15" s="62" customFormat="1" ht="18.75" thickBot="1" x14ac:dyDescent="0.3">
      <c r="A215" s="411">
        <v>16</v>
      </c>
      <c r="B215" s="443"/>
      <c r="C215" s="443"/>
      <c r="D215" s="444" t="s">
        <v>15</v>
      </c>
      <c r="E215" s="445"/>
      <c r="F215" s="600"/>
      <c r="G215" s="446"/>
      <c r="H215" s="606">
        <f>SUM(H216:H219)</f>
        <v>1941.3789000000002</v>
      </c>
      <c r="I215" s="17">
        <f t="shared" si="45"/>
        <v>2.8703780135550558E-3</v>
      </c>
    </row>
    <row r="216" spans="1:15" s="62" customFormat="1" ht="36" x14ac:dyDescent="0.25">
      <c r="A216" s="566" t="s">
        <v>672</v>
      </c>
      <c r="B216" s="376" t="s">
        <v>310</v>
      </c>
      <c r="C216" s="392" t="s">
        <v>304</v>
      </c>
      <c r="D216" s="170" t="s">
        <v>261</v>
      </c>
      <c r="E216" s="143" t="s">
        <v>1</v>
      </c>
      <c r="F216" s="144">
        <v>270</v>
      </c>
      <c r="G216" s="16">
        <v>1</v>
      </c>
      <c r="H216" s="587">
        <f>G216*F216</f>
        <v>270</v>
      </c>
      <c r="I216" s="17">
        <f t="shared" si="45"/>
        <v>3.9920185784437292E-4</v>
      </c>
    </row>
    <row r="217" spans="1:15" s="63" customFormat="1" ht="54" x14ac:dyDescent="0.25">
      <c r="A217" s="566" t="s">
        <v>673</v>
      </c>
      <c r="B217" s="376" t="s">
        <v>164</v>
      </c>
      <c r="C217" s="392" t="s">
        <v>164</v>
      </c>
      <c r="D217" s="170" t="str">
        <f>COMPOSIÇÕES!D311</f>
        <v>MOBILIZAÇÃO E DESMOBILIZAÇÃO DE CONTAINER, INCLUSIVE CARGA, DESCARGA E TRANSPORTE EM CAMINHÃO CARROCERIA COM GUINDAUTO (MUNCK), EXCLUSIVE LOCAÇÃO DO CONTAINER ( SETOP ED-31952)</v>
      </c>
      <c r="E217" s="143" t="s">
        <v>2</v>
      </c>
      <c r="F217" s="144">
        <v>1</v>
      </c>
      <c r="G217" s="16">
        <f>COMPOSIÇÕES!H314</f>
        <v>889.10820000000012</v>
      </c>
      <c r="H217" s="587">
        <f>G217*F217</f>
        <v>889.10820000000012</v>
      </c>
      <c r="I217" s="17">
        <f t="shared" si="45"/>
        <v>1.3145690565358012E-3</v>
      </c>
      <c r="J217" s="525"/>
    </row>
    <row r="218" spans="1:15" s="63" customFormat="1" ht="18" x14ac:dyDescent="0.25">
      <c r="A218" s="566" t="s">
        <v>674</v>
      </c>
      <c r="B218" s="376" t="s">
        <v>164</v>
      </c>
      <c r="C218" s="392" t="s">
        <v>164</v>
      </c>
      <c r="D218" s="170" t="str">
        <f>COMPOSIÇÕES!D305</f>
        <v>REMOÇÃO PLACA DE OBRA (ORSE31)</v>
      </c>
      <c r="E218" s="143" t="s">
        <v>1</v>
      </c>
      <c r="F218" s="144">
        <f>F11</f>
        <v>4.5</v>
      </c>
      <c r="G218" s="16">
        <f>COMPOSIÇÕES!H308</f>
        <v>22.141600000000004</v>
      </c>
      <c r="H218" s="587">
        <f>G218*F218</f>
        <v>99.637200000000021</v>
      </c>
      <c r="I218" s="17">
        <f t="shared" si="45"/>
        <v>1.4731613092744948E-4</v>
      </c>
      <c r="J218" s="534"/>
    </row>
    <row r="219" spans="1:15" s="178" customFormat="1" ht="18.75" thickBot="1" x14ac:dyDescent="0.3">
      <c r="A219" s="566" t="s">
        <v>675</v>
      </c>
      <c r="B219" s="440" t="s">
        <v>426</v>
      </c>
      <c r="C219" s="440" t="s">
        <v>304</v>
      </c>
      <c r="D219" s="441" t="s">
        <v>180</v>
      </c>
      <c r="E219" s="442" t="s">
        <v>1</v>
      </c>
      <c r="F219" s="153">
        <f>E7</f>
        <v>274.14999999999998</v>
      </c>
      <c r="G219" s="345">
        <v>2.4900000000000002</v>
      </c>
      <c r="H219" s="588">
        <f>G219*F219</f>
        <v>682.63350000000003</v>
      </c>
      <c r="I219" s="17">
        <f t="shared" si="45"/>
        <v>1.0092909682474325E-3</v>
      </c>
    </row>
    <row r="220" spans="1:15" s="64" customFormat="1" ht="18.75" thickBot="1" x14ac:dyDescent="0.3">
      <c r="A220" s="430"/>
      <c r="B220" s="431"/>
      <c r="C220" s="431"/>
      <c r="D220" s="432"/>
      <c r="E220" s="433"/>
      <c r="F220" s="425"/>
      <c r="G220" s="425" t="s">
        <v>154</v>
      </c>
      <c r="H220" s="606">
        <f>H10+H13+H16+H21+H27+H35+H47+H51+H59+H133+H153+H185+H188+H195+H213+H215</f>
        <v>541079.64618793596</v>
      </c>
      <c r="I220" s="17">
        <f t="shared" si="45"/>
        <v>0.8</v>
      </c>
      <c r="J220" s="534"/>
      <c r="K220" s="534"/>
      <c r="L220" s="535"/>
      <c r="M220" s="535"/>
      <c r="N220" s="535"/>
      <c r="O220" s="535"/>
    </row>
    <row r="221" spans="1:15" s="60" customFormat="1" ht="18.75" thickBot="1" x14ac:dyDescent="0.3">
      <c r="A221" s="171"/>
      <c r="B221" s="393"/>
      <c r="C221" s="393"/>
      <c r="D221" s="172"/>
      <c r="E221" s="173"/>
      <c r="F221" s="183" t="s">
        <v>147</v>
      </c>
      <c r="G221" s="184">
        <v>0.25</v>
      </c>
      <c r="H221" s="615">
        <f>H220*G221</f>
        <v>135269.91154698399</v>
      </c>
      <c r="I221" s="17">
        <f t="shared" si="45"/>
        <v>0.2</v>
      </c>
      <c r="J221" s="534"/>
      <c r="K221" s="534"/>
      <c r="L221" s="534"/>
      <c r="M221" s="534"/>
      <c r="N221" s="534"/>
      <c r="O221" s="534"/>
    </row>
    <row r="222" spans="1:15" s="60" customFormat="1" ht="21" thickBot="1" x14ac:dyDescent="0.35">
      <c r="A222" s="434"/>
      <c r="B222" s="435"/>
      <c r="C222" s="435"/>
      <c r="D222" s="436"/>
      <c r="E222" s="437"/>
      <c r="F222" s="438"/>
      <c r="G222" s="439" t="s">
        <v>9</v>
      </c>
      <c r="H222" s="616">
        <f>H220+H221</f>
        <v>676349.55773491994</v>
      </c>
      <c r="I222" s="17">
        <f>I220+I221</f>
        <v>1</v>
      </c>
      <c r="J222" s="535"/>
      <c r="K222" s="534"/>
      <c r="L222" s="534"/>
      <c r="M222" s="534"/>
      <c r="N222" s="534"/>
      <c r="O222" s="534"/>
    </row>
    <row r="223" spans="1:15" ht="24" customHeight="1" x14ac:dyDescent="0.2">
      <c r="A223" s="179" t="s">
        <v>149</v>
      </c>
      <c r="B223" s="179"/>
      <c r="C223" s="361"/>
      <c r="D223" s="180"/>
      <c r="E223" s="45"/>
      <c r="F223" s="601"/>
      <c r="G223" s="185"/>
      <c r="H223" s="617"/>
      <c r="J223" s="534"/>
      <c r="K223" s="534"/>
      <c r="L223" s="534"/>
      <c r="M223" s="534"/>
      <c r="N223" s="534"/>
      <c r="O223" s="534"/>
    </row>
    <row r="224" spans="1:15" ht="21.75" customHeight="1" x14ac:dyDescent="0.3">
      <c r="B224" s="181"/>
      <c r="C224" s="181"/>
      <c r="D224" s="180" t="s">
        <v>515</v>
      </c>
      <c r="E224" s="45"/>
      <c r="F224" s="658" t="s">
        <v>518</v>
      </c>
      <c r="G224" s="658"/>
      <c r="H224" s="658"/>
      <c r="J224" s="534"/>
      <c r="K224" s="534"/>
      <c r="L224" s="534"/>
      <c r="M224" s="534"/>
      <c r="N224" s="534"/>
      <c r="O224" s="534"/>
    </row>
    <row r="225" spans="2:15" ht="18" x14ac:dyDescent="0.2">
      <c r="B225" s="181"/>
      <c r="C225" s="181"/>
      <c r="D225" s="182" t="s">
        <v>516</v>
      </c>
      <c r="E225" s="45"/>
      <c r="F225" s="601"/>
      <c r="G225" s="342"/>
      <c r="H225" s="342"/>
      <c r="J225" s="534"/>
      <c r="K225" s="534"/>
      <c r="L225" s="534"/>
      <c r="M225" s="534"/>
      <c r="N225" s="534"/>
      <c r="O225" s="534"/>
    </row>
    <row r="226" spans="2:15" ht="18" customHeight="1" x14ac:dyDescent="0.25">
      <c r="D226" s="182" t="s">
        <v>517</v>
      </c>
      <c r="F226" s="659" t="s">
        <v>329</v>
      </c>
      <c r="G226" s="659"/>
      <c r="H226" s="659"/>
      <c r="J226" s="534"/>
      <c r="K226" s="534"/>
      <c r="L226" s="534"/>
      <c r="M226" s="534"/>
      <c r="N226" s="534"/>
      <c r="O226" s="534"/>
    </row>
    <row r="227" spans="2:15" ht="18" x14ac:dyDescent="0.25">
      <c r="F227" s="659" t="s">
        <v>355</v>
      </c>
      <c r="G227" s="659"/>
      <c r="H227" s="659"/>
      <c r="J227" s="534"/>
      <c r="K227" s="534"/>
      <c r="L227" s="534"/>
      <c r="M227" s="534"/>
      <c r="N227" s="534"/>
      <c r="O227" s="534"/>
    </row>
    <row r="228" spans="2:15" ht="18" x14ac:dyDescent="0.25">
      <c r="F228" s="659" t="s">
        <v>356</v>
      </c>
      <c r="G228" s="659"/>
      <c r="H228" s="659"/>
      <c r="J228" s="534"/>
      <c r="K228" s="534"/>
      <c r="L228" s="534"/>
      <c r="M228" s="534"/>
      <c r="N228" s="534"/>
      <c r="O228" s="534"/>
    </row>
    <row r="229" spans="2:15" ht="12.75" customHeight="1" x14ac:dyDescent="0.2">
      <c r="F229" s="343"/>
      <c r="G229" s="342"/>
      <c r="H229" s="342"/>
      <c r="J229" s="534"/>
      <c r="K229" s="534"/>
      <c r="L229" s="534"/>
      <c r="M229" s="534"/>
      <c r="N229" s="534"/>
      <c r="O229" s="534"/>
    </row>
    <row r="230" spans="2:15" ht="12.75" customHeight="1" x14ac:dyDescent="0.2">
      <c r="F230" s="343"/>
      <c r="G230" s="342"/>
      <c r="H230" s="342"/>
    </row>
    <row r="231" spans="2:15" ht="12.75" customHeight="1" x14ac:dyDescent="0.2">
      <c r="F231" s="343"/>
      <c r="G231" s="342"/>
      <c r="H231" s="342"/>
    </row>
    <row r="232" spans="2:15" ht="12.75" customHeight="1" x14ac:dyDescent="0.2">
      <c r="F232" s="343"/>
      <c r="G232" s="342"/>
      <c r="H232" s="342"/>
    </row>
    <row r="233" spans="2:15" ht="12.75" customHeight="1" x14ac:dyDescent="0.2">
      <c r="F233" s="343"/>
      <c r="G233" s="342"/>
      <c r="H233" s="342"/>
    </row>
    <row r="234" spans="2:15" ht="12.75" customHeight="1" x14ac:dyDescent="0.2">
      <c r="F234" s="343"/>
      <c r="G234" s="342"/>
      <c r="H234" s="342"/>
    </row>
    <row r="235" spans="2:15" ht="12.75" customHeight="1" x14ac:dyDescent="0.2">
      <c r="F235" s="343"/>
      <c r="G235" s="342"/>
      <c r="H235" s="342"/>
    </row>
    <row r="236" spans="2:15" ht="12.75" customHeight="1" x14ac:dyDescent="0.2">
      <c r="F236" s="343"/>
      <c r="G236" s="342"/>
      <c r="H236" s="342"/>
    </row>
    <row r="237" spans="2:15" ht="12.75" customHeight="1" x14ac:dyDescent="0.2">
      <c r="F237" s="343"/>
      <c r="G237" s="342"/>
      <c r="H237" s="342"/>
    </row>
    <row r="238" spans="2:15" ht="12.75" customHeight="1" x14ac:dyDescent="0.2">
      <c r="F238" s="343"/>
      <c r="G238" s="342"/>
      <c r="H238" s="342"/>
    </row>
    <row r="239" spans="2:15" ht="12.75" customHeight="1" x14ac:dyDescent="0.2">
      <c r="F239" s="343"/>
      <c r="G239" s="342"/>
      <c r="H239" s="342"/>
    </row>
  </sheetData>
  <mergeCells count="14">
    <mergeCell ref="F224:H224"/>
    <mergeCell ref="F228:H228"/>
    <mergeCell ref="F227:H227"/>
    <mergeCell ref="F226:H226"/>
    <mergeCell ref="A1:E1"/>
    <mergeCell ref="A3:E3"/>
    <mergeCell ref="A7:D7"/>
    <mergeCell ref="E7:F7"/>
    <mergeCell ref="A8:H8"/>
    <mergeCell ref="A5:D5"/>
    <mergeCell ref="E6:F6"/>
    <mergeCell ref="E5:F5"/>
    <mergeCell ref="A6:D6"/>
    <mergeCell ref="A2:E2"/>
  </mergeCells>
  <phoneticPr fontId="41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41" orientation="portrait" horizontalDpi="4294967295" verticalDpi="4294967295" r:id="rId1"/>
  <headerFooter alignWithMargins="0">
    <oddHeader xml:space="preserve">&amp;C
</oddHeader>
    <oddFooter>&amp;CPágina &amp;P de &amp;N</oddFooter>
  </headerFooter>
  <ignoredErrors>
    <ignoredError sqref="H52:H57 F99 H189:H192 H34 H14 H28:H32 H60:H62 H36:H46" formula="1"/>
    <ignoredError sqref="B215 B15 B65:B66 B141 B47 B68 B51:B62 B217:B219 B39:B46" numberStoredAsText="1"/>
    <ignoredError sqref="G5 E7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41"/>
  <sheetViews>
    <sheetView zoomScale="90" zoomScaleNormal="90" workbookViewId="0">
      <selection activeCell="C35" sqref="C35"/>
    </sheetView>
  </sheetViews>
  <sheetFormatPr defaultColWidth="9.140625" defaultRowHeight="12.75" x14ac:dyDescent="0.2"/>
  <cols>
    <col min="1" max="1" width="17.7109375" style="14" customWidth="1"/>
    <col min="2" max="2" width="14.140625" style="14" customWidth="1"/>
    <col min="3" max="3" width="23.140625" style="14" customWidth="1"/>
    <col min="4" max="4" width="72.85546875" style="14" bestFit="1" customWidth="1"/>
    <col min="5" max="5" width="12.140625" style="14" bestFit="1" customWidth="1"/>
    <col min="6" max="6" width="16.85546875" style="14" customWidth="1"/>
    <col min="7" max="7" width="13.7109375" style="15" bestFit="1" customWidth="1"/>
    <col min="8" max="8" width="16.42578125" style="15" customWidth="1"/>
    <col min="9" max="9" width="23.5703125" style="47" customWidth="1"/>
    <col min="10" max="10" width="26.7109375" style="47" customWidth="1"/>
    <col min="11" max="11" width="16.140625" style="47" customWidth="1"/>
    <col min="12" max="12" width="12.5703125" style="14" customWidth="1"/>
    <col min="13" max="13" width="13.85546875" style="14" customWidth="1"/>
    <col min="14" max="16384" width="9.140625" style="14"/>
  </cols>
  <sheetData>
    <row r="1" spans="1:11" s="24" customFormat="1" ht="25.5" customHeight="1" x14ac:dyDescent="0.3">
      <c r="A1" s="692" t="s">
        <v>12</v>
      </c>
      <c r="B1" s="693"/>
      <c r="C1" s="693"/>
      <c r="D1" s="693"/>
      <c r="E1" s="693"/>
      <c r="F1" s="18"/>
      <c r="G1" s="121"/>
      <c r="H1" s="19"/>
      <c r="I1" s="122"/>
      <c r="J1" s="122"/>
      <c r="K1" s="122"/>
    </row>
    <row r="2" spans="1:11" s="24" customFormat="1" ht="20.25" customHeight="1" x14ac:dyDescent="0.25">
      <c r="A2" s="694" t="s">
        <v>140</v>
      </c>
      <c r="B2" s="695"/>
      <c r="C2" s="695"/>
      <c r="D2" s="695"/>
      <c r="E2" s="695"/>
      <c r="F2" s="20"/>
      <c r="G2" s="123"/>
      <c r="H2" s="21"/>
      <c r="I2" s="122"/>
      <c r="J2" s="122"/>
      <c r="K2" s="122"/>
    </row>
    <row r="3" spans="1:11" s="24" customFormat="1" ht="18" customHeight="1" x14ac:dyDescent="0.25">
      <c r="A3" s="696" t="s">
        <v>328</v>
      </c>
      <c r="B3" s="697"/>
      <c r="C3" s="697"/>
      <c r="D3" s="697"/>
      <c r="E3" s="697"/>
      <c r="F3" s="22"/>
      <c r="G3" s="123"/>
      <c r="H3" s="21"/>
      <c r="I3" s="122"/>
      <c r="J3" s="122"/>
      <c r="K3" s="122"/>
    </row>
    <row r="4" spans="1:11" s="24" customFormat="1" ht="8.25" customHeight="1" x14ac:dyDescent="0.2">
      <c r="A4" s="23"/>
      <c r="G4" s="124"/>
      <c r="H4" s="25"/>
      <c r="I4" s="122"/>
      <c r="J4" s="122"/>
      <c r="K4" s="122"/>
    </row>
    <row r="5" spans="1:11" s="24" customFormat="1" ht="20.25" customHeight="1" x14ac:dyDescent="0.2">
      <c r="A5" s="53" t="s">
        <v>6</v>
      </c>
      <c r="B5" s="54"/>
      <c r="C5" s="26"/>
      <c r="E5" s="682" t="s">
        <v>8</v>
      </c>
      <c r="F5" s="682"/>
      <c r="G5" s="124"/>
      <c r="H5" s="25"/>
      <c r="I5" s="122"/>
      <c r="J5" s="122"/>
      <c r="K5" s="122"/>
    </row>
    <row r="6" spans="1:11" s="24" customFormat="1" ht="19.5" customHeight="1" x14ac:dyDescent="0.25">
      <c r="A6" s="698" t="str">
        <f>SERVIÇOS!A5</f>
        <v>Conclusão da obra da FÁRMACIA UNIVERSITÁRIA.</v>
      </c>
      <c r="B6" s="699"/>
      <c r="C6" s="699"/>
      <c r="D6" s="699"/>
      <c r="E6" s="673" t="s">
        <v>519</v>
      </c>
      <c r="F6" s="673"/>
      <c r="G6" s="125"/>
      <c r="H6" s="27"/>
      <c r="I6" s="122"/>
      <c r="J6" s="122"/>
      <c r="K6" s="122"/>
    </row>
    <row r="7" spans="1:11" s="13" customFormat="1" ht="19.5" customHeight="1" x14ac:dyDescent="0.2">
      <c r="A7" s="680" t="s">
        <v>7</v>
      </c>
      <c r="B7" s="681"/>
      <c r="C7" s="681"/>
      <c r="D7" s="24"/>
      <c r="E7" s="682" t="s">
        <v>10</v>
      </c>
      <c r="F7" s="682"/>
      <c r="G7" s="683" t="s">
        <v>142</v>
      </c>
      <c r="H7" s="683"/>
      <c r="I7" s="46"/>
      <c r="J7" s="46"/>
      <c r="K7" s="46"/>
    </row>
    <row r="8" spans="1:11" s="13" customFormat="1" ht="15.75" customHeight="1" thickBot="1" x14ac:dyDescent="0.25">
      <c r="A8" s="684" t="str">
        <f>SERVIÇOS!A7</f>
        <v>Campus Universitário de Ondina - Salvador - Bahia</v>
      </c>
      <c r="B8" s="685"/>
      <c r="C8" s="685"/>
      <c r="D8" s="685"/>
      <c r="E8" s="686">
        <f>SERVIÇOS!E7</f>
        <v>274.14999999999998</v>
      </c>
      <c r="F8" s="686"/>
      <c r="G8" s="687">
        <f ca="1">NOW()</f>
        <v>45902.492755092593</v>
      </c>
      <c r="H8" s="688"/>
      <c r="I8" s="46"/>
      <c r="J8" s="46"/>
      <c r="K8" s="46"/>
    </row>
    <row r="9" spans="1:11" ht="13.5" thickTop="1" x14ac:dyDescent="0.2"/>
    <row r="10" spans="1:11" ht="13.5" thickBot="1" x14ac:dyDescent="0.25"/>
    <row r="11" spans="1:11" ht="21" thickBot="1" x14ac:dyDescent="0.25">
      <c r="A11" s="689" t="s">
        <v>161</v>
      </c>
      <c r="B11" s="690"/>
      <c r="C11" s="690"/>
      <c r="D11" s="690"/>
      <c r="E11" s="690"/>
      <c r="F11" s="690"/>
      <c r="G11" s="690"/>
      <c r="H11" s="691"/>
    </row>
    <row r="12" spans="1:11" ht="13.5" x14ac:dyDescent="0.25">
      <c r="E12" s="65"/>
    </row>
    <row r="13" spans="1:11" x14ac:dyDescent="0.2">
      <c r="C13" s="364">
        <v>88316</v>
      </c>
      <c r="D13" s="137" t="s">
        <v>160</v>
      </c>
      <c r="E13" s="138">
        <v>24.37</v>
      </c>
      <c r="F13" s="132"/>
      <c r="G13" s="131"/>
    </row>
    <row r="14" spans="1:11" ht="22.5" customHeight="1" x14ac:dyDescent="0.2">
      <c r="C14" s="136">
        <v>88264</v>
      </c>
      <c r="D14" s="137" t="s">
        <v>172</v>
      </c>
      <c r="E14" s="138">
        <v>33.94</v>
      </c>
      <c r="F14" s="132"/>
      <c r="G14" s="131"/>
    </row>
    <row r="15" spans="1:11" x14ac:dyDescent="0.2">
      <c r="C15" s="136">
        <v>88247</v>
      </c>
      <c r="D15" s="137" t="s">
        <v>174</v>
      </c>
      <c r="E15" s="138">
        <v>25.56</v>
      </c>
      <c r="F15" s="132"/>
      <c r="G15" s="131"/>
    </row>
    <row r="16" spans="1:11" x14ac:dyDescent="0.2">
      <c r="C16" s="136">
        <v>88309</v>
      </c>
      <c r="D16" s="137" t="s">
        <v>194</v>
      </c>
      <c r="E16" s="135">
        <v>33.520000000000003</v>
      </c>
      <c r="F16" s="132"/>
      <c r="G16" s="131"/>
      <c r="I16" s="14"/>
      <c r="J16" s="14"/>
      <c r="K16" s="14"/>
    </row>
    <row r="17" spans="1:11" s="132" customFormat="1" x14ac:dyDescent="0.2">
      <c r="C17" s="136">
        <v>88242</v>
      </c>
      <c r="D17" s="137" t="s">
        <v>208</v>
      </c>
      <c r="E17" s="135">
        <v>25.17</v>
      </c>
      <c r="G17" s="131"/>
      <c r="H17" s="131"/>
    </row>
    <row r="18" spans="1:11" x14ac:dyDescent="0.2">
      <c r="C18" s="136">
        <v>88262</v>
      </c>
      <c r="D18" s="137" t="s">
        <v>204</v>
      </c>
      <c r="E18" s="135">
        <v>33.07</v>
      </c>
      <c r="F18" s="132"/>
      <c r="G18" s="131"/>
      <c r="I18" s="14"/>
      <c r="J18" s="14"/>
      <c r="K18" s="14"/>
    </row>
    <row r="19" spans="1:11" x14ac:dyDescent="0.2">
      <c r="C19" s="136">
        <v>88261</v>
      </c>
      <c r="D19" s="137" t="s">
        <v>206</v>
      </c>
      <c r="E19" s="135">
        <v>31.99</v>
      </c>
      <c r="F19" s="132"/>
      <c r="G19" s="131"/>
      <c r="I19" s="14"/>
      <c r="J19" s="14"/>
      <c r="K19" s="14"/>
    </row>
    <row r="20" spans="1:11" ht="25.5" customHeight="1" x14ac:dyDescent="0.2">
      <c r="C20" s="136">
        <v>88239</v>
      </c>
      <c r="D20" s="137" t="s">
        <v>207</v>
      </c>
      <c r="E20" s="135">
        <v>24.95</v>
      </c>
      <c r="F20" s="132"/>
      <c r="G20" s="131"/>
      <c r="I20" s="14"/>
      <c r="J20" s="14"/>
      <c r="K20" s="14"/>
    </row>
    <row r="21" spans="1:11" x14ac:dyDescent="0.2">
      <c r="C21" s="136">
        <v>88267</v>
      </c>
      <c r="D21" s="137" t="s">
        <v>209</v>
      </c>
      <c r="E21" s="166">
        <v>32.799999999999997</v>
      </c>
      <c r="F21" s="132"/>
      <c r="G21" s="131"/>
      <c r="I21" s="14"/>
      <c r="J21" s="14"/>
      <c r="K21" s="14"/>
    </row>
    <row r="22" spans="1:11" x14ac:dyDescent="0.2">
      <c r="C22" s="136">
        <v>88315</v>
      </c>
      <c r="D22" s="137" t="s">
        <v>210</v>
      </c>
      <c r="E22" s="135">
        <v>33.29</v>
      </c>
      <c r="F22" s="132"/>
      <c r="G22" s="131"/>
      <c r="I22" s="14"/>
      <c r="J22" s="14"/>
      <c r="K22" s="14"/>
    </row>
    <row r="23" spans="1:11" ht="13.5" customHeight="1" x14ac:dyDescent="0.2">
      <c r="C23" s="136">
        <v>88251</v>
      </c>
      <c r="D23" s="137" t="s">
        <v>211</v>
      </c>
      <c r="E23" s="135">
        <v>25.12</v>
      </c>
      <c r="F23" s="132"/>
      <c r="G23" s="131"/>
      <c r="I23" s="167"/>
      <c r="J23" s="14"/>
      <c r="K23" s="14"/>
    </row>
    <row r="24" spans="1:11" ht="12.75" customHeight="1" x14ac:dyDescent="0.2">
      <c r="C24" s="136">
        <v>88310</v>
      </c>
      <c r="D24" s="137" t="s">
        <v>216</v>
      </c>
      <c r="E24" s="135">
        <v>35.18</v>
      </c>
    </row>
    <row r="25" spans="1:11" ht="12.75" customHeight="1" x14ac:dyDescent="0.2"/>
    <row r="26" spans="1:11" ht="12.75" customHeight="1" x14ac:dyDescent="0.2"/>
    <row r="27" spans="1:11" ht="12.75" customHeight="1" x14ac:dyDescent="0.2"/>
    <row r="28" spans="1:11" x14ac:dyDescent="0.2">
      <c r="I28" s="14"/>
      <c r="J28" s="14"/>
      <c r="K28" s="14"/>
    </row>
    <row r="29" spans="1:11" s="132" customFormat="1" ht="15" x14ac:dyDescent="0.25">
      <c r="A29" s="175"/>
      <c r="B29" s="175"/>
      <c r="C29" s="175"/>
      <c r="D29" s="175"/>
      <c r="E29" s="175"/>
      <c r="F29" s="176"/>
      <c r="G29" s="177"/>
      <c r="H29" s="177"/>
    </row>
    <row r="30" spans="1:11" s="132" customFormat="1" ht="15.75" thickBot="1" x14ac:dyDescent="0.3">
      <c r="A30" s="175"/>
      <c r="B30" s="175"/>
      <c r="C30" s="175"/>
      <c r="D30" s="175"/>
      <c r="E30" s="175"/>
      <c r="F30" s="176"/>
      <c r="G30" s="177"/>
      <c r="H30" s="177"/>
    </row>
    <row r="31" spans="1:11" ht="18.75" thickBot="1" x14ac:dyDescent="0.25">
      <c r="A31" s="678" t="str">
        <f>SERVIÇOS!D21</f>
        <v>DEMOLIÇÕES</v>
      </c>
      <c r="B31" s="679"/>
      <c r="C31" s="679"/>
      <c r="D31" s="679"/>
      <c r="E31" s="679"/>
      <c r="F31" s="679"/>
      <c r="G31" s="679"/>
      <c r="H31" s="679"/>
    </row>
    <row r="32" spans="1:11" x14ac:dyDescent="0.2">
      <c r="I32" s="14"/>
      <c r="J32" s="14"/>
      <c r="K32" s="14"/>
    </row>
    <row r="33" spans="1:11" x14ac:dyDescent="0.2">
      <c r="I33" s="14"/>
      <c r="J33" s="14"/>
      <c r="K33" s="14"/>
    </row>
    <row r="35" spans="1:11" ht="24" x14ac:dyDescent="0.2">
      <c r="A35" s="401" t="s">
        <v>164</v>
      </c>
      <c r="B35" s="401" t="s">
        <v>11</v>
      </c>
      <c r="C35" s="401" t="s">
        <v>556</v>
      </c>
      <c r="D35" s="402" t="s">
        <v>532</v>
      </c>
      <c r="E35" s="401" t="s">
        <v>533</v>
      </c>
      <c r="F35" s="401" t="s">
        <v>182</v>
      </c>
      <c r="G35" s="401" t="s">
        <v>162</v>
      </c>
      <c r="H35" s="401" t="s">
        <v>163</v>
      </c>
    </row>
    <row r="36" spans="1:11" x14ac:dyDescent="0.2">
      <c r="A36" s="136" t="s">
        <v>173</v>
      </c>
      <c r="B36" s="136" t="s">
        <v>303</v>
      </c>
      <c r="C36" s="136" t="s">
        <v>195</v>
      </c>
      <c r="D36" s="137" t="s">
        <v>160</v>
      </c>
      <c r="E36" s="136" t="s">
        <v>156</v>
      </c>
      <c r="F36" s="166">
        <v>68.3065</v>
      </c>
      <c r="G36" s="135">
        <v>24.37</v>
      </c>
      <c r="H36" s="166">
        <f>G36*F36</f>
        <v>1664.6294050000001</v>
      </c>
    </row>
    <row r="37" spans="1:11" ht="15" x14ac:dyDescent="0.25">
      <c r="A37" s="175"/>
      <c r="B37" s="175"/>
      <c r="C37" s="175"/>
      <c r="D37" s="175"/>
      <c r="E37" s="175"/>
      <c r="F37" s="176"/>
      <c r="G37" s="165" t="s">
        <v>13</v>
      </c>
      <c r="H37" s="165">
        <f>SUM(H36:H36)</f>
        <v>1664.6294050000001</v>
      </c>
    </row>
    <row r="38" spans="1:11" ht="15" x14ac:dyDescent="0.25">
      <c r="A38" s="175"/>
      <c r="B38" s="175"/>
      <c r="C38" s="175"/>
      <c r="D38" s="175"/>
      <c r="E38" s="175"/>
      <c r="F38" s="176"/>
      <c r="G38" s="177"/>
      <c r="H38" s="177"/>
    </row>
    <row r="40" spans="1:11" x14ac:dyDescent="0.2">
      <c r="I40" s="57"/>
      <c r="J40" s="57"/>
      <c r="K40" s="57"/>
    </row>
    <row r="41" spans="1:11" ht="13.5" thickBot="1" x14ac:dyDescent="0.25">
      <c r="I41" s="57"/>
      <c r="J41" s="57"/>
      <c r="K41" s="57"/>
    </row>
    <row r="42" spans="1:11" ht="18.75" thickBot="1" x14ac:dyDescent="0.25">
      <c r="A42" s="678" t="str">
        <f>SERVIÇOS!D213</f>
        <v>CABEAMENTO ESTRUTURADO</v>
      </c>
      <c r="B42" s="679"/>
      <c r="C42" s="679"/>
      <c r="D42" s="679"/>
      <c r="E42" s="679"/>
      <c r="F42" s="679"/>
      <c r="G42" s="679"/>
      <c r="H42" s="679"/>
      <c r="I42" s="57"/>
      <c r="J42" s="57"/>
      <c r="K42" s="57"/>
    </row>
    <row r="43" spans="1:11" x14ac:dyDescent="0.2">
      <c r="I43" s="57"/>
      <c r="J43" s="57"/>
      <c r="K43" s="57"/>
    </row>
    <row r="44" spans="1:11" x14ac:dyDescent="0.2">
      <c r="J44" s="14"/>
      <c r="K44" s="14"/>
    </row>
    <row r="45" spans="1:11" s="132" customFormat="1" ht="24" x14ac:dyDescent="0.2">
      <c r="A45" s="401" t="s">
        <v>11</v>
      </c>
      <c r="B45" s="401" t="s">
        <v>164</v>
      </c>
      <c r="C45" s="401" t="s">
        <v>28</v>
      </c>
      <c r="D45" s="402" t="s">
        <v>415</v>
      </c>
      <c r="E45" s="401" t="s">
        <v>2</v>
      </c>
      <c r="F45" s="401" t="s">
        <v>182</v>
      </c>
      <c r="G45" s="402" t="s">
        <v>162</v>
      </c>
      <c r="H45" s="402" t="s">
        <v>163</v>
      </c>
      <c r="I45" s="157"/>
    </row>
    <row r="46" spans="1:11" s="132" customFormat="1" ht="24" x14ac:dyDescent="0.2">
      <c r="A46" s="136" t="s">
        <v>165</v>
      </c>
      <c r="B46" s="310" t="s">
        <v>303</v>
      </c>
      <c r="C46" s="136">
        <v>11950</v>
      </c>
      <c r="D46" s="313" t="s">
        <v>226</v>
      </c>
      <c r="E46" s="311" t="s">
        <v>2</v>
      </c>
      <c r="F46" s="311">
        <v>2</v>
      </c>
      <c r="G46" s="309">
        <v>0.2</v>
      </c>
      <c r="H46" s="166">
        <f t="shared" ref="H46:H51" si="0">G46*F46</f>
        <v>0.4</v>
      </c>
      <c r="I46" s="157"/>
    </row>
    <row r="47" spans="1:11" s="132" customFormat="1" ht="24" x14ac:dyDescent="0.2">
      <c r="A47" s="136" t="s">
        <v>165</v>
      </c>
      <c r="B47" s="310" t="s">
        <v>303</v>
      </c>
      <c r="C47" s="136">
        <v>43973</v>
      </c>
      <c r="D47" s="169" t="s">
        <v>417</v>
      </c>
      <c r="E47" s="136" t="s">
        <v>2</v>
      </c>
      <c r="F47" s="138">
        <v>25</v>
      </c>
      <c r="G47" s="309">
        <v>3.63</v>
      </c>
      <c r="H47" s="166">
        <f t="shared" si="0"/>
        <v>90.75</v>
      </c>
      <c r="I47" s="314"/>
    </row>
    <row r="48" spans="1:11" s="132" customFormat="1" x14ac:dyDescent="0.2">
      <c r="A48" s="136" t="s">
        <v>165</v>
      </c>
      <c r="B48" s="310" t="s">
        <v>303</v>
      </c>
      <c r="C48" s="310">
        <v>39335</v>
      </c>
      <c r="D48" s="315" t="s">
        <v>418</v>
      </c>
      <c r="E48" s="310" t="s">
        <v>2</v>
      </c>
      <c r="F48" s="135">
        <v>1</v>
      </c>
      <c r="G48" s="312">
        <v>9.73</v>
      </c>
      <c r="H48" s="166">
        <f t="shared" si="0"/>
        <v>9.73</v>
      </c>
      <c r="I48" s="157"/>
    </row>
    <row r="49" spans="1:11" s="132" customFormat="1" ht="24" x14ac:dyDescent="0.2">
      <c r="A49" s="136" t="s">
        <v>165</v>
      </c>
      <c r="B49" s="311" t="s">
        <v>303</v>
      </c>
      <c r="C49" s="136">
        <v>39253</v>
      </c>
      <c r="D49" s="315" t="s">
        <v>419</v>
      </c>
      <c r="E49" s="310" t="s">
        <v>153</v>
      </c>
      <c r="F49" s="135">
        <v>6</v>
      </c>
      <c r="G49" s="309">
        <v>12.63</v>
      </c>
      <c r="H49" s="166">
        <f t="shared" si="0"/>
        <v>75.78</v>
      </c>
      <c r="I49" s="157"/>
    </row>
    <row r="50" spans="1:11" s="132" customFormat="1" x14ac:dyDescent="0.2">
      <c r="A50" s="136" t="s">
        <v>165</v>
      </c>
      <c r="B50" s="311" t="s">
        <v>303</v>
      </c>
      <c r="C50" s="136">
        <v>39351</v>
      </c>
      <c r="D50" s="315" t="s">
        <v>420</v>
      </c>
      <c r="E50" s="310" t="s">
        <v>2</v>
      </c>
      <c r="F50" s="135">
        <v>1</v>
      </c>
      <c r="G50" s="309">
        <v>3.63</v>
      </c>
      <c r="H50" s="166">
        <f t="shared" si="0"/>
        <v>3.63</v>
      </c>
      <c r="I50" s="157"/>
    </row>
    <row r="51" spans="1:11" s="132" customFormat="1" ht="24" x14ac:dyDescent="0.2">
      <c r="A51" s="136" t="s">
        <v>165</v>
      </c>
      <c r="B51" s="311" t="s">
        <v>303</v>
      </c>
      <c r="C51" s="136">
        <v>20111</v>
      </c>
      <c r="D51" s="315" t="s">
        <v>421</v>
      </c>
      <c r="E51" s="310" t="s">
        <v>2</v>
      </c>
      <c r="F51" s="135">
        <v>0.15</v>
      </c>
      <c r="G51" s="309">
        <v>11</v>
      </c>
      <c r="H51" s="166">
        <f t="shared" si="0"/>
        <v>1.65</v>
      </c>
      <c r="I51" s="157"/>
    </row>
    <row r="52" spans="1:11" s="132" customFormat="1" x14ac:dyDescent="0.2">
      <c r="A52" s="136" t="s">
        <v>164</v>
      </c>
      <c r="B52" s="528" t="s">
        <v>303</v>
      </c>
      <c r="C52" s="136">
        <v>88264</v>
      </c>
      <c r="D52" s="137" t="s">
        <v>172</v>
      </c>
      <c r="E52" s="136" t="s">
        <v>156</v>
      </c>
      <c r="F52" s="156">
        <v>3</v>
      </c>
      <c r="G52" s="138">
        <v>33.94</v>
      </c>
      <c r="H52" s="166">
        <f>G52*F52</f>
        <v>101.82</v>
      </c>
      <c r="I52" s="157"/>
    </row>
    <row r="53" spans="1:11" s="132" customFormat="1" x14ac:dyDescent="0.2">
      <c r="A53" s="136" t="s">
        <v>164</v>
      </c>
      <c r="B53" s="528" t="s">
        <v>303</v>
      </c>
      <c r="C53" s="136">
        <v>88247</v>
      </c>
      <c r="D53" s="137" t="s">
        <v>416</v>
      </c>
      <c r="E53" s="136" t="s">
        <v>156</v>
      </c>
      <c r="F53" s="156">
        <v>3</v>
      </c>
      <c r="G53" s="135">
        <v>25.56</v>
      </c>
      <c r="H53" s="166">
        <f>G53*F53</f>
        <v>76.679999999999993</v>
      </c>
      <c r="I53" s="157"/>
    </row>
    <row r="54" spans="1:11" x14ac:dyDescent="0.2">
      <c r="B54" s="527"/>
      <c r="G54" s="165" t="s">
        <v>13</v>
      </c>
      <c r="H54" s="165">
        <f>SUM(H46:H53)</f>
        <v>360.44</v>
      </c>
    </row>
    <row r="56" spans="1:11" ht="13.5" thickBot="1" x14ac:dyDescent="0.25">
      <c r="I56" s="168"/>
      <c r="J56" s="57"/>
      <c r="K56" s="57"/>
    </row>
    <row r="57" spans="1:11" ht="18.75" thickBot="1" x14ac:dyDescent="0.25">
      <c r="A57" s="678" t="str">
        <f>SERVIÇOS!D59</f>
        <v>ESQUADRIAS</v>
      </c>
      <c r="B57" s="679"/>
      <c r="C57" s="679"/>
      <c r="D57" s="679"/>
      <c r="E57" s="679"/>
      <c r="F57" s="679"/>
      <c r="G57" s="679"/>
      <c r="H57" s="679"/>
      <c r="I57" s="168"/>
      <c r="J57" s="57"/>
      <c r="K57" s="57"/>
    </row>
    <row r="58" spans="1:11" x14ac:dyDescent="0.2">
      <c r="I58" s="57"/>
      <c r="J58" s="57"/>
      <c r="K58" s="57"/>
    </row>
    <row r="60" spans="1:11" ht="24" x14ac:dyDescent="0.2">
      <c r="A60" s="401" t="s">
        <v>164</v>
      </c>
      <c r="B60" s="401" t="s">
        <v>11</v>
      </c>
      <c r="C60" s="401" t="s">
        <v>28</v>
      </c>
      <c r="D60" s="402" t="s">
        <v>411</v>
      </c>
      <c r="E60" s="401" t="s">
        <v>2</v>
      </c>
      <c r="F60" s="401" t="s">
        <v>182</v>
      </c>
      <c r="G60" s="401" t="s">
        <v>162</v>
      </c>
      <c r="H60" s="401" t="s">
        <v>163</v>
      </c>
    </row>
    <row r="61" spans="1:11" ht="24" x14ac:dyDescent="0.2">
      <c r="A61" s="136" t="s">
        <v>165</v>
      </c>
      <c r="B61" s="310" t="s">
        <v>303</v>
      </c>
      <c r="C61" s="136">
        <v>11950</v>
      </c>
      <c r="D61" s="137" t="s">
        <v>226</v>
      </c>
      <c r="E61" s="136" t="s">
        <v>2</v>
      </c>
      <c r="F61" s="166">
        <v>4</v>
      </c>
      <c r="G61" s="166">
        <v>0.2</v>
      </c>
      <c r="H61" s="166">
        <f>G61*F61</f>
        <v>0.8</v>
      </c>
    </row>
    <row r="62" spans="1:11" ht="24" x14ac:dyDescent="0.2">
      <c r="A62" s="136" t="s">
        <v>165</v>
      </c>
      <c r="B62" s="136" t="s">
        <v>412</v>
      </c>
      <c r="C62" s="136">
        <v>10239</v>
      </c>
      <c r="D62" s="137" t="s">
        <v>411</v>
      </c>
      <c r="E62" s="136" t="s">
        <v>2</v>
      </c>
      <c r="F62" s="166">
        <v>1</v>
      </c>
      <c r="G62" s="166">
        <v>208.63</v>
      </c>
      <c r="H62" s="166">
        <f>G62*F62</f>
        <v>208.63</v>
      </c>
    </row>
    <row r="63" spans="1:11" x14ac:dyDescent="0.2">
      <c r="A63" s="136" t="s">
        <v>173</v>
      </c>
      <c r="B63" s="136" t="s">
        <v>303</v>
      </c>
      <c r="C63" s="136">
        <v>88261</v>
      </c>
      <c r="D63" s="137" t="s">
        <v>206</v>
      </c>
      <c r="E63" s="136" t="s">
        <v>156</v>
      </c>
      <c r="F63" s="166">
        <v>0.6</v>
      </c>
      <c r="G63" s="166">
        <v>31.99</v>
      </c>
      <c r="H63" s="166">
        <f>G63*F63</f>
        <v>19.193999999999999</v>
      </c>
    </row>
    <row r="64" spans="1:11" x14ac:dyDescent="0.2">
      <c r="A64" s="136" t="s">
        <v>173</v>
      </c>
      <c r="B64" s="136" t="s">
        <v>303</v>
      </c>
      <c r="C64" s="136" t="s">
        <v>195</v>
      </c>
      <c r="D64" s="137" t="s">
        <v>160</v>
      </c>
      <c r="E64" s="136" t="s">
        <v>156</v>
      </c>
      <c r="F64" s="166">
        <v>0.6</v>
      </c>
      <c r="G64" s="135">
        <v>24.37</v>
      </c>
      <c r="H64" s="166">
        <f>G64*F64</f>
        <v>14.622</v>
      </c>
    </row>
    <row r="65" spans="1:8" ht="15" x14ac:dyDescent="0.25">
      <c r="A65" s="175"/>
      <c r="B65" s="175"/>
      <c r="C65" s="175"/>
      <c r="D65" s="175"/>
      <c r="E65" s="175"/>
      <c r="F65" s="176"/>
      <c r="G65" s="165" t="s">
        <v>13</v>
      </c>
      <c r="H65" s="165">
        <f>SUM(H61:H64)</f>
        <v>243.24599999999998</v>
      </c>
    </row>
    <row r="66" spans="1:8" ht="15" x14ac:dyDescent="0.25">
      <c r="A66" s="175"/>
      <c r="B66" s="175"/>
      <c r="C66" s="175"/>
      <c r="D66" s="175"/>
      <c r="E66" s="175"/>
      <c r="F66" s="176"/>
      <c r="G66" s="177"/>
      <c r="H66" s="177"/>
    </row>
    <row r="68" spans="1:8" s="132" customFormat="1" ht="24" x14ac:dyDescent="0.2">
      <c r="A68" s="401" t="s">
        <v>164</v>
      </c>
      <c r="B68" s="401" t="s">
        <v>11</v>
      </c>
      <c r="C68" s="401" t="s">
        <v>28</v>
      </c>
      <c r="D68" s="402" t="s">
        <v>288</v>
      </c>
      <c r="E68" s="401" t="s">
        <v>234</v>
      </c>
      <c r="F68" s="401" t="s">
        <v>182</v>
      </c>
      <c r="G68" s="401" t="s">
        <v>162</v>
      </c>
      <c r="H68" s="401" t="s">
        <v>163</v>
      </c>
    </row>
    <row r="69" spans="1:8" s="132" customFormat="1" ht="24" x14ac:dyDescent="0.2">
      <c r="A69" s="136" t="s">
        <v>164</v>
      </c>
      <c r="B69" s="136" t="s">
        <v>303</v>
      </c>
      <c r="C69" s="136">
        <v>102193</v>
      </c>
      <c r="D69" s="137" t="s">
        <v>235</v>
      </c>
      <c r="E69" s="350" t="s">
        <v>1</v>
      </c>
      <c r="F69" s="166">
        <v>1</v>
      </c>
      <c r="G69" s="166">
        <v>2.27</v>
      </c>
      <c r="H69" s="135">
        <f>G69*F69</f>
        <v>2.27</v>
      </c>
    </row>
    <row r="70" spans="1:8" s="132" customFormat="1" ht="24" x14ac:dyDescent="0.2">
      <c r="A70" s="136" t="s">
        <v>164</v>
      </c>
      <c r="B70" s="136" t="s">
        <v>303</v>
      </c>
      <c r="C70" s="136">
        <v>102201</v>
      </c>
      <c r="D70" s="137" t="s">
        <v>236</v>
      </c>
      <c r="E70" s="350" t="s">
        <v>1</v>
      </c>
      <c r="F70" s="166">
        <v>1</v>
      </c>
      <c r="G70" s="166">
        <v>20.59</v>
      </c>
      <c r="H70" s="135">
        <f>G70*F70</f>
        <v>20.59</v>
      </c>
    </row>
    <row r="71" spans="1:8" s="132" customFormat="1" x14ac:dyDescent="0.2">
      <c r="A71" s="136" t="s">
        <v>164</v>
      </c>
      <c r="B71" s="136" t="s">
        <v>303</v>
      </c>
      <c r="C71" s="136">
        <v>102194</v>
      </c>
      <c r="D71" s="137" t="s">
        <v>279</v>
      </c>
      <c r="E71" s="350" t="s">
        <v>1</v>
      </c>
      <c r="F71" s="166">
        <v>1</v>
      </c>
      <c r="G71" s="166">
        <v>9.6300000000000008</v>
      </c>
      <c r="H71" s="135">
        <f>G71*F71</f>
        <v>9.6300000000000008</v>
      </c>
    </row>
    <row r="72" spans="1:8" s="132" customFormat="1" ht="24" x14ac:dyDescent="0.2">
      <c r="A72" s="136" t="s">
        <v>164</v>
      </c>
      <c r="B72" s="136" t="s">
        <v>303</v>
      </c>
      <c r="C72" s="136">
        <v>102218</v>
      </c>
      <c r="D72" s="137" t="s">
        <v>278</v>
      </c>
      <c r="E72" s="350" t="s">
        <v>1</v>
      </c>
      <c r="F72" s="166">
        <v>1</v>
      </c>
      <c r="G72" s="166">
        <v>19.28</v>
      </c>
      <c r="H72" s="135">
        <f t="shared" ref="H72" si="1">G72*F72</f>
        <v>19.28</v>
      </c>
    </row>
    <row r="73" spans="1:8" s="132" customFormat="1" x14ac:dyDescent="0.2">
      <c r="A73" s="14"/>
      <c r="B73" s="14"/>
      <c r="C73" s="14"/>
      <c r="D73" s="14"/>
      <c r="E73" s="14"/>
      <c r="F73" s="14"/>
      <c r="G73" s="351" t="s">
        <v>13</v>
      </c>
      <c r="H73" s="351">
        <f>SUM(H69:H72)</f>
        <v>51.77</v>
      </c>
    </row>
    <row r="74" spans="1:8" s="132" customFormat="1" x14ac:dyDescent="0.2">
      <c r="A74" s="14"/>
      <c r="B74" s="14"/>
      <c r="C74" s="14"/>
      <c r="D74" s="14"/>
      <c r="E74" s="14"/>
      <c r="F74" s="14"/>
      <c r="G74" s="15"/>
      <c r="H74" s="15"/>
    </row>
    <row r="76" spans="1:8" ht="24" x14ac:dyDescent="0.2">
      <c r="A76" s="401" t="s">
        <v>164</v>
      </c>
      <c r="B76" s="401" t="s">
        <v>11</v>
      </c>
      <c r="C76" s="401" t="s">
        <v>28</v>
      </c>
      <c r="D76" s="402" t="s">
        <v>287</v>
      </c>
      <c r="E76" s="401" t="s">
        <v>234</v>
      </c>
      <c r="F76" s="401" t="s">
        <v>182</v>
      </c>
      <c r="G76" s="401" t="s">
        <v>162</v>
      </c>
      <c r="H76" s="401" t="s">
        <v>163</v>
      </c>
    </row>
    <row r="77" spans="1:8" ht="24" x14ac:dyDescent="0.2">
      <c r="A77" s="136" t="s">
        <v>164</v>
      </c>
      <c r="B77" s="136" t="s">
        <v>303</v>
      </c>
      <c r="C77" s="136">
        <v>102193</v>
      </c>
      <c r="D77" s="137" t="s">
        <v>235</v>
      </c>
      <c r="E77" s="136" t="s">
        <v>1</v>
      </c>
      <c r="F77" s="166">
        <v>1</v>
      </c>
      <c r="G77" s="166">
        <v>2.27</v>
      </c>
      <c r="H77" s="135">
        <f>G77*F77</f>
        <v>2.27</v>
      </c>
    </row>
    <row r="78" spans="1:8" ht="24" x14ac:dyDescent="0.2">
      <c r="A78" s="136" t="s">
        <v>164</v>
      </c>
      <c r="B78" s="136" t="s">
        <v>303</v>
      </c>
      <c r="C78" s="136">
        <v>102201</v>
      </c>
      <c r="D78" s="137" t="s">
        <v>236</v>
      </c>
      <c r="E78" s="136" t="s">
        <v>1</v>
      </c>
      <c r="F78" s="166">
        <v>1</v>
      </c>
      <c r="G78" s="166">
        <v>20.59</v>
      </c>
      <c r="H78" s="135">
        <f>G78*F78</f>
        <v>20.59</v>
      </c>
    </row>
    <row r="79" spans="1:8" x14ac:dyDescent="0.2">
      <c r="A79" s="136" t="s">
        <v>164</v>
      </c>
      <c r="B79" s="136" t="s">
        <v>303</v>
      </c>
      <c r="C79" s="136">
        <v>102194</v>
      </c>
      <c r="D79" s="137" t="s">
        <v>279</v>
      </c>
      <c r="E79" s="136" t="s">
        <v>1</v>
      </c>
      <c r="F79" s="166">
        <v>1</v>
      </c>
      <c r="G79" s="166">
        <v>9.6300000000000008</v>
      </c>
      <c r="H79" s="135">
        <f>G79*F79</f>
        <v>9.6300000000000008</v>
      </c>
    </row>
    <row r="80" spans="1:8" ht="24" x14ac:dyDescent="0.2">
      <c r="A80" s="136" t="s">
        <v>164</v>
      </c>
      <c r="B80" s="136" t="s">
        <v>303</v>
      </c>
      <c r="C80" s="136">
        <v>102218</v>
      </c>
      <c r="D80" s="137" t="s">
        <v>278</v>
      </c>
      <c r="E80" s="136" t="s">
        <v>1</v>
      </c>
      <c r="F80" s="166">
        <v>1</v>
      </c>
      <c r="G80" s="166">
        <v>19.28</v>
      </c>
      <c r="H80" s="135">
        <f t="shared" ref="H80" si="2">G80*F80</f>
        <v>19.28</v>
      </c>
    </row>
    <row r="81" spans="1:8" x14ac:dyDescent="0.2">
      <c r="G81" s="351" t="s">
        <v>13</v>
      </c>
      <c r="H81" s="351">
        <f>SUM(H77:H80)</f>
        <v>51.77</v>
      </c>
    </row>
    <row r="82" spans="1:8" x14ac:dyDescent="0.2">
      <c r="A82" s="159"/>
      <c r="G82" s="177"/>
      <c r="H82" s="177"/>
    </row>
    <row r="83" spans="1:8" x14ac:dyDescent="0.2">
      <c r="A83" s="159"/>
      <c r="G83" s="177"/>
      <c r="H83" s="177"/>
    </row>
    <row r="84" spans="1:8" ht="24" x14ac:dyDescent="0.2">
      <c r="A84" s="401" t="s">
        <v>164</v>
      </c>
      <c r="B84" s="401" t="s">
        <v>11</v>
      </c>
      <c r="C84" s="401" t="s">
        <v>28</v>
      </c>
      <c r="D84" s="402" t="s">
        <v>447</v>
      </c>
      <c r="E84" s="401" t="s">
        <v>234</v>
      </c>
      <c r="F84" s="401" t="s">
        <v>182</v>
      </c>
      <c r="G84" s="401" t="s">
        <v>162</v>
      </c>
      <c r="H84" s="401" t="s">
        <v>163</v>
      </c>
    </row>
    <row r="85" spans="1:8" x14ac:dyDescent="0.2">
      <c r="A85" s="136" t="s">
        <v>165</v>
      </c>
      <c r="B85" s="136" t="s">
        <v>449</v>
      </c>
      <c r="C85" s="136" t="s">
        <v>448</v>
      </c>
      <c r="D85" s="137" t="s">
        <v>447</v>
      </c>
      <c r="E85" s="136" t="s">
        <v>1</v>
      </c>
      <c r="F85" s="136">
        <v>1</v>
      </c>
      <c r="G85" s="136">
        <v>41.77</v>
      </c>
      <c r="H85" s="136">
        <f>G85*F85</f>
        <v>41.77</v>
      </c>
    </row>
    <row r="86" spans="1:8" x14ac:dyDescent="0.2">
      <c r="A86" s="136" t="s">
        <v>164</v>
      </c>
      <c r="B86" s="136" t="s">
        <v>303</v>
      </c>
      <c r="C86" s="136">
        <v>88325</v>
      </c>
      <c r="D86" s="137" t="s">
        <v>554</v>
      </c>
      <c r="E86" s="136" t="s">
        <v>156</v>
      </c>
      <c r="F86" s="136">
        <v>0.7</v>
      </c>
      <c r="G86" s="136">
        <v>25.17</v>
      </c>
      <c r="H86" s="136">
        <f>G86*F86</f>
        <v>17.619</v>
      </c>
    </row>
    <row r="87" spans="1:8" x14ac:dyDescent="0.2">
      <c r="A87" s="136" t="s">
        <v>164</v>
      </c>
      <c r="B87" s="136" t="s">
        <v>303</v>
      </c>
      <c r="C87" s="136">
        <v>88316</v>
      </c>
      <c r="D87" s="137" t="s">
        <v>160</v>
      </c>
      <c r="E87" s="136" t="s">
        <v>156</v>
      </c>
      <c r="F87" s="136">
        <v>0.7</v>
      </c>
      <c r="G87" s="136">
        <v>24.37</v>
      </c>
      <c r="H87" s="136">
        <f>G87*F87</f>
        <v>17.059000000000001</v>
      </c>
    </row>
    <row r="88" spans="1:8" x14ac:dyDescent="0.2">
      <c r="A88" s="159"/>
      <c r="G88" s="165" t="s">
        <v>13</v>
      </c>
      <c r="H88" s="165">
        <f>SUM(H85:H87)</f>
        <v>76.448000000000008</v>
      </c>
    </row>
    <row r="89" spans="1:8" x14ac:dyDescent="0.2">
      <c r="A89" s="159"/>
      <c r="G89" s="177"/>
      <c r="H89" s="177"/>
    </row>
    <row r="90" spans="1:8" x14ac:dyDescent="0.2">
      <c r="A90" s="159"/>
      <c r="G90" s="177"/>
      <c r="H90" s="177"/>
    </row>
    <row r="91" spans="1:8" ht="48" x14ac:dyDescent="0.2">
      <c r="A91" s="401" t="s">
        <v>164</v>
      </c>
      <c r="B91" s="401" t="s">
        <v>461</v>
      </c>
      <c r="C91" s="401" t="s">
        <v>28</v>
      </c>
      <c r="D91" s="402" t="s">
        <v>460</v>
      </c>
      <c r="E91" s="401" t="s">
        <v>234</v>
      </c>
      <c r="F91" s="401" t="s">
        <v>182</v>
      </c>
      <c r="G91" s="401" t="s">
        <v>162</v>
      </c>
      <c r="H91" s="401" t="s">
        <v>163</v>
      </c>
    </row>
    <row r="92" spans="1:8" x14ac:dyDescent="0.2">
      <c r="A92" s="136" t="s">
        <v>165</v>
      </c>
      <c r="B92" s="136" t="s">
        <v>304</v>
      </c>
      <c r="C92" s="136" t="s">
        <v>462</v>
      </c>
      <c r="D92" s="137" t="s">
        <v>460</v>
      </c>
      <c r="E92" s="136" t="s">
        <v>1</v>
      </c>
      <c r="F92" s="136">
        <v>1</v>
      </c>
      <c r="G92" s="516">
        <v>190</v>
      </c>
      <c r="H92" s="516">
        <f>G92*F92</f>
        <v>190</v>
      </c>
    </row>
    <row r="93" spans="1:8" x14ac:dyDescent="0.2">
      <c r="A93" s="159"/>
      <c r="G93" s="351" t="s">
        <v>13</v>
      </c>
      <c r="H93" s="351">
        <f>SUM(H91:H92)</f>
        <v>190</v>
      </c>
    </row>
    <row r="94" spans="1:8" x14ac:dyDescent="0.2">
      <c r="A94" s="159"/>
      <c r="G94" s="177"/>
      <c r="H94" s="177"/>
    </row>
    <row r="96" spans="1:8" ht="24" x14ac:dyDescent="0.2">
      <c r="A96" s="401" t="s">
        <v>164</v>
      </c>
      <c r="B96" s="401" t="s">
        <v>11</v>
      </c>
      <c r="C96" s="401" t="s">
        <v>28</v>
      </c>
      <c r="D96" s="402" t="s">
        <v>241</v>
      </c>
      <c r="E96" s="401" t="s">
        <v>1</v>
      </c>
      <c r="F96" s="401" t="s">
        <v>182</v>
      </c>
      <c r="G96" s="401" t="s">
        <v>162</v>
      </c>
      <c r="H96" s="401" t="s">
        <v>163</v>
      </c>
    </row>
    <row r="97" spans="1:8" ht="24" x14ac:dyDescent="0.2">
      <c r="A97" s="136" t="s">
        <v>233</v>
      </c>
      <c r="B97" s="136" t="s">
        <v>413</v>
      </c>
      <c r="C97" s="136" t="s">
        <v>413</v>
      </c>
      <c r="D97" s="137" t="s">
        <v>252</v>
      </c>
      <c r="E97" s="350" t="s">
        <v>1</v>
      </c>
      <c r="F97" s="166">
        <f>1/(0.3*0.3)</f>
        <v>11.111111111111111</v>
      </c>
      <c r="G97" s="166">
        <v>22</v>
      </c>
      <c r="H97" s="135">
        <f>G97*F97</f>
        <v>244.44444444444443</v>
      </c>
    </row>
    <row r="98" spans="1:8" x14ac:dyDescent="0.2">
      <c r="A98" s="136" t="s">
        <v>164</v>
      </c>
      <c r="B98" s="136" t="s">
        <v>303</v>
      </c>
      <c r="C98" s="136">
        <v>88309</v>
      </c>
      <c r="D98" s="137" t="s">
        <v>194</v>
      </c>
      <c r="E98" s="350" t="s">
        <v>156</v>
      </c>
      <c r="F98" s="166">
        <v>0.45</v>
      </c>
      <c r="G98" s="350">
        <v>33.520000000000003</v>
      </c>
      <c r="H98" s="135">
        <f t="shared" ref="H98:H100" si="3">G98*F98</f>
        <v>15.084000000000001</v>
      </c>
    </row>
    <row r="99" spans="1:8" x14ac:dyDescent="0.2">
      <c r="A99" s="136" t="s">
        <v>164</v>
      </c>
      <c r="B99" s="136" t="s">
        <v>303</v>
      </c>
      <c r="C99" s="136">
        <v>88316</v>
      </c>
      <c r="D99" s="137" t="s">
        <v>160</v>
      </c>
      <c r="E99" s="350" t="s">
        <v>156</v>
      </c>
      <c r="F99" s="166">
        <v>0.45</v>
      </c>
      <c r="G99" s="350">
        <v>24.37</v>
      </c>
      <c r="H99" s="135">
        <f t="shared" si="3"/>
        <v>10.9665</v>
      </c>
    </row>
    <row r="100" spans="1:8" ht="36" x14ac:dyDescent="0.2">
      <c r="A100" s="136" t="s">
        <v>164</v>
      </c>
      <c r="B100" s="136" t="s">
        <v>304</v>
      </c>
      <c r="C100" s="136">
        <v>7728</v>
      </c>
      <c r="D100" s="137" t="s">
        <v>480</v>
      </c>
      <c r="E100" s="350" t="s">
        <v>159</v>
      </c>
      <c r="F100" s="166">
        <v>5.4999999999999997E-3</v>
      </c>
      <c r="G100" s="526">
        <v>529.09</v>
      </c>
      <c r="H100" s="135">
        <f t="shared" si="3"/>
        <v>2.9099949999999999</v>
      </c>
    </row>
    <row r="101" spans="1:8" x14ac:dyDescent="0.2">
      <c r="A101" s="363"/>
      <c r="B101" s="136"/>
      <c r="C101" s="363"/>
      <c r="D101" s="363"/>
      <c r="E101" s="363"/>
      <c r="F101" s="363"/>
      <c r="G101" s="351" t="s">
        <v>13</v>
      </c>
      <c r="H101" s="351">
        <f>SUM(H97:H100)</f>
        <v>273.40493944444438</v>
      </c>
    </row>
    <row r="102" spans="1:8" x14ac:dyDescent="0.2">
      <c r="B102" s="158"/>
      <c r="G102" s="177"/>
      <c r="H102" s="177"/>
    </row>
    <row r="103" spans="1:8" x14ac:dyDescent="0.2">
      <c r="B103" s="158"/>
      <c r="G103" s="177"/>
      <c r="H103" s="177"/>
    </row>
    <row r="104" spans="1:8" ht="24" x14ac:dyDescent="0.2">
      <c r="A104" s="401" t="s">
        <v>164</v>
      </c>
      <c r="B104" s="401" t="s">
        <v>11</v>
      </c>
      <c r="C104" s="401" t="s">
        <v>28</v>
      </c>
      <c r="D104" s="402" t="s">
        <v>302</v>
      </c>
      <c r="E104" s="401" t="s">
        <v>2</v>
      </c>
      <c r="F104" s="401" t="s">
        <v>182</v>
      </c>
      <c r="G104" s="401" t="s">
        <v>162</v>
      </c>
      <c r="H104" s="401" t="s">
        <v>163</v>
      </c>
    </row>
    <row r="105" spans="1:8" ht="24" x14ac:dyDescent="0.2">
      <c r="A105" s="136" t="s">
        <v>233</v>
      </c>
      <c r="B105" s="136" t="s">
        <v>354</v>
      </c>
      <c r="C105" s="136" t="s">
        <v>354</v>
      </c>
      <c r="D105" s="137" t="s">
        <v>302</v>
      </c>
      <c r="E105" s="136" t="s">
        <v>2</v>
      </c>
      <c r="F105" s="136">
        <v>1</v>
      </c>
      <c r="G105" s="136">
        <v>6.67</v>
      </c>
      <c r="H105" s="135">
        <f>G105*F105</f>
        <v>6.67</v>
      </c>
    </row>
    <row r="106" spans="1:8" x14ac:dyDescent="0.2">
      <c r="A106" s="136" t="s">
        <v>164</v>
      </c>
      <c r="B106" s="136" t="s">
        <v>303</v>
      </c>
      <c r="C106" s="136">
        <v>88243</v>
      </c>
      <c r="D106" s="137" t="s">
        <v>397</v>
      </c>
      <c r="E106" s="136" t="s">
        <v>156</v>
      </c>
      <c r="F106" s="136">
        <v>0.1</v>
      </c>
      <c r="G106" s="136">
        <v>25.88</v>
      </c>
      <c r="H106" s="135">
        <f>G106*F106</f>
        <v>2.5880000000000001</v>
      </c>
    </row>
    <row r="107" spans="1:8" x14ac:dyDescent="0.2">
      <c r="A107" s="363"/>
      <c r="B107" s="136"/>
      <c r="C107" s="363"/>
      <c r="D107" s="363"/>
      <c r="E107" s="363"/>
      <c r="F107" s="363"/>
      <c r="G107" s="351" t="s">
        <v>13</v>
      </c>
      <c r="H107" s="351">
        <f>SUM(H105:H106)</f>
        <v>9.2579999999999991</v>
      </c>
    </row>
    <row r="108" spans="1:8" x14ac:dyDescent="0.2">
      <c r="G108" s="177"/>
      <c r="H108" s="177"/>
    </row>
    <row r="110" spans="1:8" ht="24" x14ac:dyDescent="0.2">
      <c r="A110" s="401" t="s">
        <v>164</v>
      </c>
      <c r="B110" s="401" t="s">
        <v>11</v>
      </c>
      <c r="C110" s="401" t="s">
        <v>28</v>
      </c>
      <c r="D110" s="402" t="s">
        <v>501</v>
      </c>
      <c r="E110" s="401" t="s">
        <v>1</v>
      </c>
      <c r="F110" s="401" t="s">
        <v>182</v>
      </c>
      <c r="G110" s="401" t="s">
        <v>162</v>
      </c>
      <c r="H110" s="401" t="s">
        <v>163</v>
      </c>
    </row>
    <row r="111" spans="1:8" x14ac:dyDescent="0.2">
      <c r="A111" s="136"/>
      <c r="B111" s="136" t="s">
        <v>303</v>
      </c>
      <c r="C111" s="136">
        <v>88309</v>
      </c>
      <c r="D111" s="137" t="s">
        <v>399</v>
      </c>
      <c r="E111" s="136" t="s">
        <v>156</v>
      </c>
      <c r="F111" s="309">
        <v>0.3</v>
      </c>
      <c r="G111" s="309">
        <v>33.520000000000003</v>
      </c>
      <c r="H111" s="166">
        <f>G111*F111</f>
        <v>10.056000000000001</v>
      </c>
    </row>
    <row r="112" spans="1:8" x14ac:dyDescent="0.2">
      <c r="A112" s="136"/>
      <c r="B112" s="309" t="s">
        <v>303</v>
      </c>
      <c r="C112" s="136">
        <v>88316</v>
      </c>
      <c r="D112" s="137" t="s">
        <v>160</v>
      </c>
      <c r="E112" s="370" t="s">
        <v>156</v>
      </c>
      <c r="F112" s="370">
        <v>0.6</v>
      </c>
      <c r="G112" s="309">
        <v>24.37</v>
      </c>
      <c r="H112" s="309">
        <f>G112*F112</f>
        <v>14.622</v>
      </c>
    </row>
    <row r="113" spans="1:8" x14ac:dyDescent="0.2">
      <c r="G113" s="165" t="s">
        <v>13</v>
      </c>
      <c r="H113" s="165">
        <f>SUM(H111:H112)</f>
        <v>24.678000000000001</v>
      </c>
    </row>
    <row r="114" spans="1:8" x14ac:dyDescent="0.2">
      <c r="G114" s="177"/>
      <c r="H114" s="177"/>
    </row>
    <row r="116" spans="1:8" ht="24" x14ac:dyDescent="0.2">
      <c r="A116" s="401" t="s">
        <v>164</v>
      </c>
      <c r="B116" s="401" t="s">
        <v>11</v>
      </c>
      <c r="C116" s="401" t="s">
        <v>28</v>
      </c>
      <c r="D116" s="401" t="s">
        <v>479</v>
      </c>
      <c r="E116" s="401" t="s">
        <v>2</v>
      </c>
      <c r="F116" s="401" t="s">
        <v>182</v>
      </c>
      <c r="G116" s="401" t="s">
        <v>162</v>
      </c>
      <c r="H116" s="401" t="s">
        <v>163</v>
      </c>
    </row>
    <row r="117" spans="1:8" ht="60" x14ac:dyDescent="0.2">
      <c r="A117" s="136" t="s">
        <v>164</v>
      </c>
      <c r="B117" s="136" t="s">
        <v>303</v>
      </c>
      <c r="C117" s="136">
        <v>90844</v>
      </c>
      <c r="D117" s="137" t="s">
        <v>510</v>
      </c>
      <c r="E117" s="136" t="s">
        <v>2</v>
      </c>
      <c r="F117" s="352">
        <v>1</v>
      </c>
      <c r="G117" s="166">
        <v>1262.04</v>
      </c>
      <c r="H117" s="135">
        <f>G117*F117</f>
        <v>1262.04</v>
      </c>
    </row>
    <row r="118" spans="1:8" ht="24" x14ac:dyDescent="0.2">
      <c r="A118" s="136" t="s">
        <v>165</v>
      </c>
      <c r="B118" s="136" t="s">
        <v>165</v>
      </c>
      <c r="C118" s="136" t="s">
        <v>272</v>
      </c>
      <c r="D118" s="137" t="s">
        <v>269</v>
      </c>
      <c r="E118" s="350" t="s">
        <v>2</v>
      </c>
      <c r="F118" s="352">
        <v>1</v>
      </c>
      <c r="G118" s="166">
        <v>327.95</v>
      </c>
      <c r="H118" s="135">
        <f>G118*F118</f>
        <v>327.95</v>
      </c>
    </row>
    <row r="119" spans="1:8" x14ac:dyDescent="0.2">
      <c r="A119" s="136" t="s">
        <v>165</v>
      </c>
      <c r="B119" s="136" t="s">
        <v>165</v>
      </c>
      <c r="C119" s="136" t="s">
        <v>477</v>
      </c>
      <c r="D119" s="137" t="s">
        <v>481</v>
      </c>
      <c r="E119" s="350" t="s">
        <v>2</v>
      </c>
      <c r="F119" s="352">
        <v>1</v>
      </c>
      <c r="G119" s="166">
        <v>765</v>
      </c>
      <c r="H119" s="135">
        <f t="shared" ref="H119:H123" si="4">G119*F119</f>
        <v>765</v>
      </c>
    </row>
    <row r="120" spans="1:8" x14ac:dyDescent="0.2">
      <c r="A120" s="136" t="s">
        <v>165</v>
      </c>
      <c r="B120" s="136" t="s">
        <v>165</v>
      </c>
      <c r="C120" s="136" t="s">
        <v>477</v>
      </c>
      <c r="D120" s="137" t="s">
        <v>478</v>
      </c>
      <c r="E120" s="350" t="s">
        <v>2</v>
      </c>
      <c r="F120" s="352">
        <v>1</v>
      </c>
      <c r="G120" s="166">
        <v>135</v>
      </c>
      <c r="H120" s="135">
        <f t="shared" si="4"/>
        <v>135</v>
      </c>
    </row>
    <row r="121" spans="1:8" x14ac:dyDescent="0.2">
      <c r="A121" s="158" t="s">
        <v>165</v>
      </c>
      <c r="B121" s="158" t="s">
        <v>412</v>
      </c>
      <c r="C121" s="158">
        <v>21907</v>
      </c>
      <c r="D121" s="529" t="s">
        <v>508</v>
      </c>
      <c r="E121" s="530" t="s">
        <v>158</v>
      </c>
      <c r="F121" s="352">
        <v>1</v>
      </c>
      <c r="G121" s="532">
        <v>95</v>
      </c>
      <c r="H121" s="531">
        <f t="shared" si="4"/>
        <v>95</v>
      </c>
    </row>
    <row r="122" spans="1:8" ht="24" x14ac:dyDescent="0.2">
      <c r="A122" s="158" t="s">
        <v>165</v>
      </c>
      <c r="B122" s="158" t="s">
        <v>412</v>
      </c>
      <c r="C122" s="158">
        <v>62165</v>
      </c>
      <c r="D122" s="137" t="s">
        <v>509</v>
      </c>
      <c r="E122" s="350" t="s">
        <v>2</v>
      </c>
      <c r="F122" s="352">
        <v>1</v>
      </c>
      <c r="G122" s="166">
        <v>56.9</v>
      </c>
      <c r="H122" s="531">
        <f t="shared" si="4"/>
        <v>56.9</v>
      </c>
    </row>
    <row r="123" spans="1:8" ht="24" x14ac:dyDescent="0.2">
      <c r="A123" s="158" t="s">
        <v>165</v>
      </c>
      <c r="B123" s="158" t="s">
        <v>412</v>
      </c>
      <c r="C123" s="158">
        <v>3034</v>
      </c>
      <c r="D123" s="529" t="s">
        <v>511</v>
      </c>
      <c r="E123" s="530" t="s">
        <v>193</v>
      </c>
      <c r="F123" s="352">
        <v>0.2</v>
      </c>
      <c r="G123" s="166">
        <v>36.89</v>
      </c>
      <c r="H123" s="135">
        <f t="shared" si="4"/>
        <v>7.3780000000000001</v>
      </c>
    </row>
    <row r="124" spans="1:8" x14ac:dyDescent="0.2">
      <c r="G124" s="351" t="s">
        <v>13</v>
      </c>
      <c r="H124" s="351">
        <f>SUM(H117:H123)</f>
        <v>2649.268</v>
      </c>
    </row>
    <row r="125" spans="1:8" x14ac:dyDescent="0.2">
      <c r="G125" s="177"/>
      <c r="H125" s="177"/>
    </row>
    <row r="126" spans="1:8" x14ac:dyDescent="0.2">
      <c r="G126" s="177"/>
      <c r="H126" s="177"/>
    </row>
    <row r="127" spans="1:8" ht="24" x14ac:dyDescent="0.2">
      <c r="A127" s="401" t="s">
        <v>164</v>
      </c>
      <c r="B127" s="401" t="s">
        <v>11</v>
      </c>
      <c r="C127" s="401" t="s">
        <v>28</v>
      </c>
      <c r="D127" s="402" t="s">
        <v>468</v>
      </c>
      <c r="E127" s="401" t="s">
        <v>2</v>
      </c>
      <c r="F127" s="401" t="s">
        <v>182</v>
      </c>
      <c r="G127" s="401" t="s">
        <v>162</v>
      </c>
      <c r="H127" s="401" t="s">
        <v>163</v>
      </c>
    </row>
    <row r="128" spans="1:8" ht="24" x14ac:dyDescent="0.2">
      <c r="A128" s="136" t="s">
        <v>164</v>
      </c>
      <c r="B128" s="136" t="s">
        <v>303</v>
      </c>
      <c r="C128" s="136">
        <v>97624</v>
      </c>
      <c r="D128" s="137" t="s">
        <v>471</v>
      </c>
      <c r="E128" s="136" t="s">
        <v>472</v>
      </c>
      <c r="F128" s="136">
        <f>0.5*0.5*0.15</f>
        <v>3.7499999999999999E-2</v>
      </c>
      <c r="G128" s="166">
        <v>122.9</v>
      </c>
      <c r="H128" s="135">
        <f>G128*F128</f>
        <v>4.6087499999999997</v>
      </c>
    </row>
    <row r="129" spans="1:8" x14ac:dyDescent="0.2">
      <c r="A129" s="136" t="s">
        <v>164</v>
      </c>
      <c r="B129" s="136" t="s">
        <v>304</v>
      </c>
      <c r="C129" s="136">
        <v>3256</v>
      </c>
      <c r="D129" s="137" t="s">
        <v>470</v>
      </c>
      <c r="E129" s="136" t="s">
        <v>153</v>
      </c>
      <c r="F129" s="136">
        <f>0.5*0.5</f>
        <v>0.25</v>
      </c>
      <c r="G129" s="166">
        <v>15.89</v>
      </c>
      <c r="H129" s="135">
        <f>G129*F129</f>
        <v>3.9725000000000001</v>
      </c>
    </row>
    <row r="130" spans="1:8" x14ac:dyDescent="0.2">
      <c r="A130" s="136" t="s">
        <v>165</v>
      </c>
      <c r="B130" s="136" t="s">
        <v>412</v>
      </c>
      <c r="C130" s="136">
        <v>7876</v>
      </c>
      <c r="D130" s="137" t="s">
        <v>469</v>
      </c>
      <c r="E130" s="350" t="s">
        <v>234</v>
      </c>
      <c r="F130" s="136">
        <f>0.5*0.6</f>
        <v>0.3</v>
      </c>
      <c r="G130" s="166">
        <v>160</v>
      </c>
      <c r="H130" s="135">
        <f>G130*F130</f>
        <v>48</v>
      </c>
    </row>
    <row r="131" spans="1:8" x14ac:dyDescent="0.2">
      <c r="A131" s="136" t="s">
        <v>164</v>
      </c>
      <c r="B131" s="136" t="s">
        <v>303</v>
      </c>
      <c r="C131" s="136">
        <v>88309</v>
      </c>
      <c r="D131" s="137" t="s">
        <v>194</v>
      </c>
      <c r="E131" s="136" t="s">
        <v>156</v>
      </c>
      <c r="F131" s="136">
        <v>0.8</v>
      </c>
      <c r="G131" s="166">
        <v>33.520000000000003</v>
      </c>
      <c r="H131" s="135">
        <f>G131*F131</f>
        <v>26.816000000000003</v>
      </c>
    </row>
    <row r="132" spans="1:8" ht="36" x14ac:dyDescent="0.2">
      <c r="A132" s="136" t="s">
        <v>164</v>
      </c>
      <c r="B132" s="136" t="s">
        <v>304</v>
      </c>
      <c r="C132" s="136">
        <v>1903</v>
      </c>
      <c r="D132" s="137" t="s">
        <v>473</v>
      </c>
      <c r="E132" s="136" t="s">
        <v>472</v>
      </c>
      <c r="F132" s="136">
        <v>2E-3</v>
      </c>
      <c r="G132" s="166">
        <v>525.87</v>
      </c>
      <c r="H132" s="135">
        <f>G132*F132</f>
        <v>1.0517400000000001</v>
      </c>
    </row>
    <row r="133" spans="1:8" x14ac:dyDescent="0.2">
      <c r="A133" s="136" t="s">
        <v>165</v>
      </c>
      <c r="B133" s="136" t="s">
        <v>165</v>
      </c>
      <c r="C133" s="136" t="s">
        <v>271</v>
      </c>
      <c r="D133" s="137" t="s">
        <v>270</v>
      </c>
      <c r="E133" s="350" t="s">
        <v>2</v>
      </c>
      <c r="F133" s="136">
        <v>1</v>
      </c>
      <c r="G133" s="166">
        <v>4990</v>
      </c>
      <c r="H133" s="135">
        <f t="shared" ref="H133" si="5">G133*F133</f>
        <v>4990</v>
      </c>
    </row>
    <row r="134" spans="1:8" x14ac:dyDescent="0.2">
      <c r="G134" s="351" t="s">
        <v>13</v>
      </c>
      <c r="H134" s="351">
        <f>SUM(H128:H133)</f>
        <v>5074.4489899999999</v>
      </c>
    </row>
    <row r="135" spans="1:8" x14ac:dyDescent="0.2">
      <c r="G135" s="177"/>
      <c r="H135" s="177"/>
    </row>
    <row r="136" spans="1:8" x14ac:dyDescent="0.2">
      <c r="G136" s="177"/>
      <c r="H136" s="177"/>
    </row>
    <row r="137" spans="1:8" ht="24" x14ac:dyDescent="0.2">
      <c r="A137" s="401" t="s">
        <v>164</v>
      </c>
      <c r="B137" s="401" t="s">
        <v>11</v>
      </c>
      <c r="C137" s="401" t="s">
        <v>28</v>
      </c>
      <c r="D137" s="401" t="s">
        <v>521</v>
      </c>
      <c r="E137" s="401" t="s">
        <v>2</v>
      </c>
      <c r="F137" s="401" t="s">
        <v>182</v>
      </c>
      <c r="G137" s="401" t="s">
        <v>162</v>
      </c>
      <c r="H137" s="401" t="s">
        <v>163</v>
      </c>
    </row>
    <row r="138" spans="1:8" ht="60" x14ac:dyDescent="0.2">
      <c r="A138" s="136" t="s">
        <v>164</v>
      </c>
      <c r="B138" s="136" t="s">
        <v>303</v>
      </c>
      <c r="C138" s="136">
        <v>90844</v>
      </c>
      <c r="D138" s="137" t="s">
        <v>510</v>
      </c>
      <c r="E138" s="136" t="s">
        <v>2</v>
      </c>
      <c r="F138" s="352">
        <v>1</v>
      </c>
      <c r="G138" s="166">
        <v>1262.04</v>
      </c>
      <c r="H138" s="135">
        <f>G138*F138</f>
        <v>1262.04</v>
      </c>
    </row>
    <row r="139" spans="1:8" ht="24" x14ac:dyDescent="0.2">
      <c r="A139" s="136" t="s">
        <v>165</v>
      </c>
      <c r="B139" s="136" t="s">
        <v>165</v>
      </c>
      <c r="C139" s="136" t="s">
        <v>272</v>
      </c>
      <c r="D139" s="137" t="s">
        <v>269</v>
      </c>
      <c r="E139" s="350" t="s">
        <v>2</v>
      </c>
      <c r="F139" s="352">
        <v>1</v>
      </c>
      <c r="G139" s="166">
        <v>327.95</v>
      </c>
      <c r="H139" s="135">
        <f>G139*F139</f>
        <v>327.95</v>
      </c>
    </row>
    <row r="140" spans="1:8" x14ac:dyDescent="0.2">
      <c r="A140" s="136" t="s">
        <v>165</v>
      </c>
      <c r="B140" s="136" t="s">
        <v>165</v>
      </c>
      <c r="C140" s="136" t="s">
        <v>477</v>
      </c>
      <c r="D140" s="137" t="s">
        <v>481</v>
      </c>
      <c r="E140" s="350" t="s">
        <v>2</v>
      </c>
      <c r="F140" s="352">
        <v>1</v>
      </c>
      <c r="G140" s="166">
        <v>765</v>
      </c>
      <c r="H140" s="135">
        <f t="shared" ref="H140:H144" si="6">G140*F140</f>
        <v>765</v>
      </c>
    </row>
    <row r="141" spans="1:8" x14ac:dyDescent="0.2">
      <c r="A141" s="136" t="s">
        <v>165</v>
      </c>
      <c r="B141" s="136" t="s">
        <v>165</v>
      </c>
      <c r="C141" s="136" t="s">
        <v>477</v>
      </c>
      <c r="D141" s="137" t="s">
        <v>478</v>
      </c>
      <c r="E141" s="350" t="s">
        <v>2</v>
      </c>
      <c r="F141" s="352">
        <v>1</v>
      </c>
      <c r="G141" s="166">
        <v>135</v>
      </c>
      <c r="H141" s="135">
        <f t="shared" si="6"/>
        <v>135</v>
      </c>
    </row>
    <row r="142" spans="1:8" x14ac:dyDescent="0.2">
      <c r="A142" s="158" t="s">
        <v>165</v>
      </c>
      <c r="B142" s="158" t="s">
        <v>412</v>
      </c>
      <c r="C142" s="158">
        <v>21907</v>
      </c>
      <c r="D142" s="529" t="s">
        <v>508</v>
      </c>
      <c r="E142" s="530" t="s">
        <v>158</v>
      </c>
      <c r="F142" s="352">
        <v>1</v>
      </c>
      <c r="G142" s="532">
        <v>95</v>
      </c>
      <c r="H142" s="531">
        <f t="shared" si="6"/>
        <v>95</v>
      </c>
    </row>
    <row r="143" spans="1:8" ht="24" x14ac:dyDescent="0.2">
      <c r="A143" s="158" t="s">
        <v>165</v>
      </c>
      <c r="B143" s="158" t="s">
        <v>412</v>
      </c>
      <c r="C143" s="158">
        <v>62165</v>
      </c>
      <c r="D143" s="137" t="s">
        <v>509</v>
      </c>
      <c r="E143" s="350" t="s">
        <v>2</v>
      </c>
      <c r="F143" s="352">
        <v>1</v>
      </c>
      <c r="G143" s="166">
        <v>56.9</v>
      </c>
      <c r="H143" s="531">
        <f t="shared" si="6"/>
        <v>56.9</v>
      </c>
    </row>
    <row r="144" spans="1:8" ht="24" x14ac:dyDescent="0.2">
      <c r="A144" s="158" t="s">
        <v>165</v>
      </c>
      <c r="B144" s="158" t="s">
        <v>412</v>
      </c>
      <c r="C144" s="158">
        <v>3034</v>
      </c>
      <c r="D144" s="529" t="s">
        <v>511</v>
      </c>
      <c r="E144" s="530" t="s">
        <v>193</v>
      </c>
      <c r="F144" s="352">
        <v>0.2</v>
      </c>
      <c r="G144" s="166">
        <v>36.89</v>
      </c>
      <c r="H144" s="135">
        <f t="shared" si="6"/>
        <v>7.3780000000000001</v>
      </c>
    </row>
    <row r="145" spans="1:8" x14ac:dyDescent="0.2">
      <c r="G145" s="351" t="s">
        <v>13</v>
      </c>
      <c r="H145" s="351">
        <f>SUM(H138:H144)</f>
        <v>2649.268</v>
      </c>
    </row>
    <row r="146" spans="1:8" x14ac:dyDescent="0.2">
      <c r="G146" s="177"/>
      <c r="H146" s="177"/>
    </row>
    <row r="147" spans="1:8" x14ac:dyDescent="0.2">
      <c r="G147" s="177"/>
      <c r="H147" s="177"/>
    </row>
    <row r="148" spans="1:8" x14ac:dyDescent="0.2">
      <c r="G148" s="177"/>
      <c r="H148" s="177"/>
    </row>
    <row r="149" spans="1:8" ht="15" x14ac:dyDescent="0.25">
      <c r="A149" s="175"/>
      <c r="B149" s="175"/>
      <c r="C149" s="175"/>
      <c r="D149" s="175"/>
      <c r="E149" s="175"/>
      <c r="F149" s="176"/>
      <c r="G149" s="177"/>
      <c r="H149" s="177"/>
    </row>
    <row r="150" spans="1:8" ht="15" x14ac:dyDescent="0.25">
      <c r="A150" s="175"/>
      <c r="B150" s="175"/>
      <c r="C150" s="175"/>
      <c r="D150" s="175"/>
      <c r="E150" s="175"/>
      <c r="F150" s="176"/>
      <c r="G150" s="177"/>
      <c r="H150" s="177"/>
    </row>
    <row r="151" spans="1:8" ht="24" x14ac:dyDescent="0.2">
      <c r="A151" s="401" t="s">
        <v>164</v>
      </c>
      <c r="B151" s="401" t="s">
        <v>11</v>
      </c>
      <c r="C151" s="401" t="s">
        <v>28</v>
      </c>
      <c r="D151" s="402" t="s">
        <v>525</v>
      </c>
      <c r="E151" s="401" t="s">
        <v>1</v>
      </c>
      <c r="F151" s="401" t="s">
        <v>182</v>
      </c>
      <c r="G151" s="401" t="s">
        <v>162</v>
      </c>
      <c r="H151" s="401" t="s">
        <v>163</v>
      </c>
    </row>
    <row r="152" spans="1:8" x14ac:dyDescent="0.2">
      <c r="A152" s="133" t="s">
        <v>173</v>
      </c>
      <c r="B152" s="133" t="s">
        <v>303</v>
      </c>
      <c r="C152" s="133">
        <v>100717</v>
      </c>
      <c r="D152" s="134" t="s">
        <v>526</v>
      </c>
      <c r="E152" s="133" t="s">
        <v>1</v>
      </c>
      <c r="F152" s="166">
        <v>1</v>
      </c>
      <c r="G152" s="166">
        <v>11.34</v>
      </c>
      <c r="H152" s="166">
        <f>G152*F152</f>
        <v>11.34</v>
      </c>
    </row>
    <row r="153" spans="1:8" ht="24" x14ac:dyDescent="0.2">
      <c r="A153" s="133" t="s">
        <v>173</v>
      </c>
      <c r="B153" s="136" t="s">
        <v>304</v>
      </c>
      <c r="C153" s="133">
        <v>2311</v>
      </c>
      <c r="D153" s="134" t="s">
        <v>527</v>
      </c>
      <c r="E153" s="133" t="s">
        <v>1</v>
      </c>
      <c r="F153" s="166">
        <v>1</v>
      </c>
      <c r="G153" s="166">
        <v>29.25</v>
      </c>
      <c r="H153" s="166">
        <f>G153*F153</f>
        <v>29.25</v>
      </c>
    </row>
    <row r="154" spans="1:8" x14ac:dyDescent="0.2">
      <c r="A154" s="133" t="s">
        <v>173</v>
      </c>
      <c r="B154" s="136" t="s">
        <v>303</v>
      </c>
      <c r="C154" s="133">
        <v>88310</v>
      </c>
      <c r="D154" s="134" t="s">
        <v>216</v>
      </c>
      <c r="E154" s="133" t="s">
        <v>156</v>
      </c>
      <c r="F154" s="166">
        <v>0.67789999999999995</v>
      </c>
      <c r="G154" s="166">
        <v>35.18</v>
      </c>
      <c r="H154" s="166">
        <f>G154*F154</f>
        <v>23.848521999999999</v>
      </c>
    </row>
    <row r="155" spans="1:8" ht="15" x14ac:dyDescent="0.25">
      <c r="A155" s="175"/>
      <c r="B155" s="175"/>
      <c r="C155" s="175"/>
      <c r="D155" s="175"/>
      <c r="E155" s="175"/>
      <c r="F155" s="176"/>
      <c r="G155" s="165" t="s">
        <v>13</v>
      </c>
      <c r="H155" s="165">
        <f>SUM(H152:H154)</f>
        <v>64.438522000000006</v>
      </c>
    </row>
    <row r="156" spans="1:8" ht="15" x14ac:dyDescent="0.25">
      <c r="A156" s="175"/>
      <c r="B156" s="175"/>
      <c r="C156" s="175"/>
      <c r="D156" s="175"/>
      <c r="E156" s="175"/>
      <c r="F156" s="176"/>
      <c r="G156" s="177"/>
      <c r="H156" s="177"/>
    </row>
    <row r="157" spans="1:8" s="132" customFormat="1" ht="15" x14ac:dyDescent="0.25">
      <c r="A157" s="175"/>
      <c r="B157" s="175"/>
      <c r="C157" s="175"/>
      <c r="D157" s="175"/>
      <c r="E157" s="175"/>
      <c r="F157" s="176"/>
      <c r="G157" s="177"/>
      <c r="H157" s="177"/>
    </row>
    <row r="158" spans="1:8" s="132" customFormat="1" ht="24" x14ac:dyDescent="0.2">
      <c r="A158" s="401" t="s">
        <v>164</v>
      </c>
      <c r="B158" s="401" t="s">
        <v>11</v>
      </c>
      <c r="C158" s="401" t="s">
        <v>28</v>
      </c>
      <c r="D158" s="402" t="s">
        <v>435</v>
      </c>
      <c r="E158" s="401" t="s">
        <v>1</v>
      </c>
      <c r="F158" s="401" t="s">
        <v>182</v>
      </c>
      <c r="G158" s="401" t="s">
        <v>162</v>
      </c>
      <c r="H158" s="401" t="s">
        <v>163</v>
      </c>
    </row>
    <row r="159" spans="1:8" s="132" customFormat="1" x14ac:dyDescent="0.2">
      <c r="A159" s="133" t="s">
        <v>165</v>
      </c>
      <c r="B159" s="136" t="s">
        <v>303</v>
      </c>
      <c r="C159" s="133" t="s">
        <v>441</v>
      </c>
      <c r="D159" s="134" t="s">
        <v>440</v>
      </c>
      <c r="E159" s="133" t="s">
        <v>1</v>
      </c>
      <c r="F159" s="166">
        <v>1</v>
      </c>
      <c r="G159" s="166">
        <v>6.67</v>
      </c>
      <c r="H159" s="166">
        <f>G159*F159</f>
        <v>6.67</v>
      </c>
    </row>
    <row r="160" spans="1:8" s="132" customFormat="1" x14ac:dyDescent="0.2">
      <c r="A160" s="133" t="s">
        <v>165</v>
      </c>
      <c r="B160" s="136" t="s">
        <v>303</v>
      </c>
      <c r="C160" s="133">
        <v>88316</v>
      </c>
      <c r="D160" s="134" t="s">
        <v>160</v>
      </c>
      <c r="E160" s="133" t="s">
        <v>156</v>
      </c>
      <c r="F160" s="166">
        <v>0.8</v>
      </c>
      <c r="G160" s="166">
        <v>24.37</v>
      </c>
      <c r="H160" s="166">
        <f>G160*F160</f>
        <v>19.496000000000002</v>
      </c>
    </row>
    <row r="161" spans="1:8" s="132" customFormat="1" ht="15" x14ac:dyDescent="0.25">
      <c r="A161" s="175"/>
      <c r="B161" s="175"/>
      <c r="C161" s="175"/>
      <c r="D161" s="175"/>
      <c r="E161" s="175"/>
      <c r="F161" s="176"/>
      <c r="G161" s="165" t="s">
        <v>13</v>
      </c>
      <c r="H161" s="165">
        <f>SUM(H159:H160)</f>
        <v>26.166000000000004</v>
      </c>
    </row>
    <row r="162" spans="1:8" x14ac:dyDescent="0.2">
      <c r="G162" s="177"/>
      <c r="H162" s="177"/>
    </row>
    <row r="163" spans="1:8" x14ac:dyDescent="0.2">
      <c r="G163" s="177"/>
      <c r="H163" s="177"/>
    </row>
    <row r="164" spans="1:8" ht="15" x14ac:dyDescent="0.25">
      <c r="A164" s="175"/>
      <c r="B164" s="175"/>
      <c r="C164" s="175"/>
      <c r="D164" s="175"/>
      <c r="E164" s="175"/>
      <c r="F164" s="176"/>
      <c r="G164" s="177"/>
      <c r="H164" s="177"/>
    </row>
    <row r="165" spans="1:8" ht="24" x14ac:dyDescent="0.2">
      <c r="A165" s="401" t="s">
        <v>164</v>
      </c>
      <c r="B165" s="401" t="s">
        <v>11</v>
      </c>
      <c r="C165" s="401" t="s">
        <v>544</v>
      </c>
      <c r="D165" s="402" t="s">
        <v>539</v>
      </c>
      <c r="E165" s="401" t="s">
        <v>2</v>
      </c>
      <c r="F165" s="401" t="s">
        <v>182</v>
      </c>
      <c r="G165" s="401" t="s">
        <v>162</v>
      </c>
      <c r="H165" s="401" t="s">
        <v>163</v>
      </c>
    </row>
    <row r="166" spans="1:8" x14ac:dyDescent="0.2">
      <c r="A166" s="133" t="s">
        <v>173</v>
      </c>
      <c r="B166" s="136" t="s">
        <v>303</v>
      </c>
      <c r="C166" s="133">
        <v>88261</v>
      </c>
      <c r="D166" s="134" t="s">
        <v>206</v>
      </c>
      <c r="E166" s="133" t="s">
        <v>156</v>
      </c>
      <c r="F166" s="166">
        <v>0.1</v>
      </c>
      <c r="G166" s="166">
        <v>31.99</v>
      </c>
      <c r="H166" s="166">
        <f>G166*F166</f>
        <v>3.1989999999999998</v>
      </c>
    </row>
    <row r="167" spans="1:8" x14ac:dyDescent="0.2">
      <c r="A167" s="133" t="s">
        <v>165</v>
      </c>
      <c r="B167" s="136" t="s">
        <v>303</v>
      </c>
      <c r="C167" s="133">
        <v>11572</v>
      </c>
      <c r="D167" s="134" t="s">
        <v>545</v>
      </c>
      <c r="E167" s="133" t="s">
        <v>2</v>
      </c>
      <c r="F167" s="166">
        <v>1</v>
      </c>
      <c r="G167" s="166">
        <v>32.340000000000003</v>
      </c>
      <c r="H167" s="166">
        <f>G167*F167</f>
        <v>32.340000000000003</v>
      </c>
    </row>
    <row r="168" spans="1:8" ht="15" x14ac:dyDescent="0.25">
      <c r="A168" s="175"/>
      <c r="B168" s="175"/>
      <c r="C168" s="175"/>
      <c r="D168" s="175"/>
      <c r="E168" s="175"/>
      <c r="F168" s="176"/>
      <c r="G168" s="165" t="s">
        <v>13</v>
      </c>
      <c r="H168" s="165">
        <f>SUM(H166:H167)</f>
        <v>35.539000000000001</v>
      </c>
    </row>
    <row r="169" spans="1:8" s="132" customFormat="1" ht="15" x14ac:dyDescent="0.25">
      <c r="A169" s="175"/>
      <c r="B169" s="175"/>
      <c r="C169" s="175"/>
      <c r="D169" s="175"/>
      <c r="E169" s="175"/>
      <c r="F169" s="176"/>
      <c r="G169" s="177"/>
      <c r="H169" s="177"/>
    </row>
    <row r="170" spans="1:8" s="132" customFormat="1" ht="15.75" thickBot="1" x14ac:dyDescent="0.3">
      <c r="A170" s="175"/>
      <c r="B170" s="175"/>
      <c r="C170" s="175"/>
      <c r="D170" s="175"/>
      <c r="E170" s="175"/>
      <c r="F170" s="176"/>
      <c r="G170" s="177"/>
      <c r="H170" s="177"/>
    </row>
    <row r="171" spans="1:8" s="132" customFormat="1" ht="18.75" thickBot="1" x14ac:dyDescent="0.25">
      <c r="A171" s="678" t="str">
        <f>SERVIÇOS!D47</f>
        <v xml:space="preserve">MOBILIÁRIO </v>
      </c>
      <c r="B171" s="679"/>
      <c r="C171" s="679"/>
      <c r="D171" s="679"/>
      <c r="E171" s="679"/>
      <c r="F171" s="679"/>
      <c r="G171" s="679"/>
      <c r="H171" s="679"/>
    </row>
    <row r="172" spans="1:8" s="132" customFormat="1" ht="15" x14ac:dyDescent="0.25">
      <c r="A172" s="175"/>
      <c r="B172" s="175"/>
      <c r="C172" s="175"/>
      <c r="D172" s="175"/>
      <c r="E172" s="175"/>
      <c r="F172" s="176"/>
      <c r="G172" s="177"/>
      <c r="H172" s="177"/>
    </row>
    <row r="173" spans="1:8" s="132" customFormat="1" ht="15" x14ac:dyDescent="0.25">
      <c r="A173" s="175"/>
      <c r="B173" s="175"/>
      <c r="C173" s="175"/>
      <c r="D173" s="175"/>
      <c r="E173" s="175"/>
      <c r="F173" s="176"/>
      <c r="G173" s="177"/>
      <c r="H173" s="177"/>
    </row>
    <row r="174" spans="1:8" s="132" customFormat="1" ht="24" x14ac:dyDescent="0.2">
      <c r="A174" s="401" t="s">
        <v>164</v>
      </c>
      <c r="B174" s="401" t="s">
        <v>11</v>
      </c>
      <c r="C174" s="401" t="s">
        <v>28</v>
      </c>
      <c r="D174" s="402" t="s">
        <v>433</v>
      </c>
      <c r="E174" s="401"/>
      <c r="F174" s="401" t="s">
        <v>182</v>
      </c>
      <c r="G174" s="401" t="s">
        <v>162</v>
      </c>
      <c r="H174" s="401" t="s">
        <v>163</v>
      </c>
    </row>
    <row r="175" spans="1:8" s="132" customFormat="1" x14ac:dyDescent="0.2">
      <c r="A175" s="133" t="s">
        <v>173</v>
      </c>
      <c r="B175" s="136" t="s">
        <v>303</v>
      </c>
      <c r="C175" s="133">
        <v>88273</v>
      </c>
      <c r="D175" s="134" t="s">
        <v>434</v>
      </c>
      <c r="E175" s="133" t="s">
        <v>156</v>
      </c>
      <c r="F175" s="166">
        <v>1</v>
      </c>
      <c r="G175" s="166">
        <v>32.43</v>
      </c>
      <c r="H175" s="166">
        <f>G175*F175</f>
        <v>32.43</v>
      </c>
    </row>
    <row r="176" spans="1:8" s="132" customFormat="1" x14ac:dyDescent="0.2">
      <c r="A176" s="133" t="s">
        <v>173</v>
      </c>
      <c r="B176" s="136" t="s">
        <v>303</v>
      </c>
      <c r="C176" s="133">
        <v>88316</v>
      </c>
      <c r="D176" s="134" t="s">
        <v>160</v>
      </c>
      <c r="E176" s="133" t="s">
        <v>156</v>
      </c>
      <c r="F176" s="166">
        <v>1</v>
      </c>
      <c r="G176" s="166">
        <v>24.37</v>
      </c>
      <c r="H176" s="166">
        <f>G176*F176</f>
        <v>24.37</v>
      </c>
    </row>
    <row r="177" spans="1:11" s="132" customFormat="1" x14ac:dyDescent="0.2">
      <c r="A177" s="175"/>
      <c r="B177" s="175"/>
      <c r="C177" s="175"/>
      <c r="D177" s="175"/>
      <c r="E177" s="175"/>
      <c r="F177" s="175"/>
      <c r="G177" s="165" t="s">
        <v>13</v>
      </c>
      <c r="H177" s="165">
        <f>SUM(H175:H176)</f>
        <v>56.8</v>
      </c>
    </row>
    <row r="178" spans="1:11" s="132" customFormat="1" x14ac:dyDescent="0.2">
      <c r="A178" s="175"/>
      <c r="B178" s="175"/>
      <c r="C178" s="175"/>
      <c r="D178" s="175"/>
      <c r="E178" s="175"/>
      <c r="F178" s="175"/>
      <c r="G178" s="177"/>
      <c r="H178" s="177"/>
    </row>
    <row r="179" spans="1:11" s="132" customFormat="1" x14ac:dyDescent="0.2">
      <c r="A179" s="175"/>
      <c r="B179" s="175"/>
      <c r="C179" s="175"/>
      <c r="D179" s="175"/>
      <c r="E179" s="175"/>
      <c r="F179" s="175"/>
      <c r="G179" s="177"/>
      <c r="H179" s="177"/>
    </row>
    <row r="180" spans="1:11" s="132" customFormat="1" ht="24" x14ac:dyDescent="0.2">
      <c r="A180" s="401" t="s">
        <v>164</v>
      </c>
      <c r="B180" s="401" t="s">
        <v>11</v>
      </c>
      <c r="C180" s="401" t="s">
        <v>28</v>
      </c>
      <c r="D180" s="402" t="s">
        <v>523</v>
      </c>
      <c r="E180" s="401"/>
      <c r="F180" s="401" t="s">
        <v>182</v>
      </c>
      <c r="G180" s="401" t="s">
        <v>162</v>
      </c>
      <c r="H180" s="401" t="s">
        <v>163</v>
      </c>
    </row>
    <row r="181" spans="1:11" s="132" customFormat="1" x14ac:dyDescent="0.2">
      <c r="A181" s="133" t="s">
        <v>173</v>
      </c>
      <c r="B181" s="136" t="s">
        <v>303</v>
      </c>
      <c r="C181" s="133">
        <v>88273</v>
      </c>
      <c r="D181" s="134" t="s">
        <v>434</v>
      </c>
      <c r="E181" s="133" t="s">
        <v>156</v>
      </c>
      <c r="F181" s="166">
        <v>1</v>
      </c>
      <c r="G181" s="166">
        <v>32.43</v>
      </c>
      <c r="H181" s="166">
        <f>G181*F181</f>
        <v>32.43</v>
      </c>
    </row>
    <row r="182" spans="1:11" s="132" customFormat="1" x14ac:dyDescent="0.2">
      <c r="A182" s="133" t="s">
        <v>173</v>
      </c>
      <c r="B182" s="136" t="s">
        <v>303</v>
      </c>
      <c r="C182" s="133">
        <v>88316</v>
      </c>
      <c r="D182" s="134" t="s">
        <v>160</v>
      </c>
      <c r="E182" s="133" t="s">
        <v>156</v>
      </c>
      <c r="F182" s="166">
        <v>1</v>
      </c>
      <c r="G182" s="166">
        <v>24.37</v>
      </c>
      <c r="H182" s="166">
        <f>G182*F182</f>
        <v>24.37</v>
      </c>
    </row>
    <row r="183" spans="1:11" s="132" customFormat="1" x14ac:dyDescent="0.2">
      <c r="A183" s="175"/>
      <c r="B183" s="175"/>
      <c r="C183" s="175"/>
      <c r="D183" s="175"/>
      <c r="E183" s="175"/>
      <c r="F183" s="175"/>
      <c r="G183" s="165" t="s">
        <v>13</v>
      </c>
      <c r="H183" s="165">
        <f>SUM(H181:H182)</f>
        <v>56.8</v>
      </c>
    </row>
    <row r="184" spans="1:11" s="132" customFormat="1" x14ac:dyDescent="0.2">
      <c r="A184" s="175"/>
      <c r="B184" s="175"/>
      <c r="C184" s="175"/>
      <c r="D184" s="175"/>
      <c r="E184" s="175"/>
      <c r="F184" s="175"/>
      <c r="G184" s="175"/>
      <c r="H184" s="175"/>
    </row>
    <row r="185" spans="1:11" s="132" customFormat="1" ht="15" x14ac:dyDescent="0.25">
      <c r="A185" s="175"/>
      <c r="B185" s="175"/>
      <c r="C185" s="175"/>
      <c r="D185" s="175"/>
      <c r="E185" s="175"/>
      <c r="F185" s="176"/>
      <c r="G185" s="177"/>
      <c r="H185" s="177"/>
    </row>
    <row r="186" spans="1:11" s="132" customFormat="1" ht="15.75" thickBot="1" x14ac:dyDescent="0.3">
      <c r="A186" s="175"/>
      <c r="B186" s="175"/>
      <c r="C186" s="175"/>
      <c r="D186" s="175"/>
      <c r="E186" s="175"/>
      <c r="F186" s="176"/>
      <c r="G186" s="177"/>
      <c r="H186" s="177"/>
    </row>
    <row r="187" spans="1:11" s="132" customFormat="1" ht="18.75" thickBot="1" x14ac:dyDescent="0.25">
      <c r="A187" s="678" t="str">
        <f>SERVIÇOS!D133</f>
        <v>LOUÇAS E METAIS</v>
      </c>
      <c r="B187" s="679"/>
      <c r="C187" s="679"/>
      <c r="D187" s="679"/>
      <c r="E187" s="679"/>
      <c r="F187" s="679"/>
      <c r="G187" s="679"/>
      <c r="H187" s="679"/>
    </row>
    <row r="188" spans="1:11" s="132" customFormat="1" ht="15" x14ac:dyDescent="0.25">
      <c r="A188" s="175"/>
      <c r="B188" s="175"/>
      <c r="C188" s="175"/>
      <c r="D188" s="175"/>
      <c r="E188" s="175"/>
      <c r="F188" s="176"/>
      <c r="G188" s="177"/>
      <c r="H188" s="177"/>
    </row>
    <row r="189" spans="1:11" s="132" customFormat="1" ht="15" x14ac:dyDescent="0.25">
      <c r="A189" s="175"/>
      <c r="B189" s="175"/>
      <c r="C189" s="175"/>
      <c r="D189" s="175"/>
      <c r="E189" s="175"/>
      <c r="F189" s="176"/>
      <c r="G189" s="177"/>
      <c r="H189" s="177"/>
      <c r="K189" s="132">
        <v>3</v>
      </c>
    </row>
    <row r="190" spans="1:11" s="132" customFormat="1" ht="36" x14ac:dyDescent="0.2">
      <c r="A190" s="401" t="s">
        <v>164</v>
      </c>
      <c r="B190" s="401" t="s">
        <v>11</v>
      </c>
      <c r="C190" s="401" t="s">
        <v>693</v>
      </c>
      <c r="D190" s="402" t="s">
        <v>699</v>
      </c>
      <c r="E190" s="401" t="s">
        <v>2</v>
      </c>
      <c r="F190" s="401" t="s">
        <v>182</v>
      </c>
      <c r="G190" s="401" t="s">
        <v>162</v>
      </c>
      <c r="H190" s="401" t="s">
        <v>163</v>
      </c>
      <c r="I190" s="589"/>
    </row>
    <row r="191" spans="1:11" s="132" customFormat="1" x14ac:dyDescent="0.2">
      <c r="A191" s="621" t="s">
        <v>173</v>
      </c>
      <c r="B191" s="136" t="s">
        <v>303</v>
      </c>
      <c r="C191" s="136">
        <v>88267</v>
      </c>
      <c r="D191" s="137" t="s">
        <v>209</v>
      </c>
      <c r="E191" s="621" t="s">
        <v>156</v>
      </c>
      <c r="F191" s="309">
        <v>0.5</v>
      </c>
      <c r="G191" s="309">
        <v>32.799999999999997</v>
      </c>
      <c r="H191" s="309">
        <f>G191*F191</f>
        <v>16.399999999999999</v>
      </c>
    </row>
    <row r="192" spans="1:11" s="132" customFormat="1" x14ac:dyDescent="0.2">
      <c r="A192" s="621" t="s">
        <v>173</v>
      </c>
      <c r="B192" s="136" t="s">
        <v>303</v>
      </c>
      <c r="C192" s="621">
        <v>88316</v>
      </c>
      <c r="D192" s="622" t="s">
        <v>160</v>
      </c>
      <c r="E192" s="621" t="s">
        <v>156</v>
      </c>
      <c r="F192" s="309">
        <v>0.5</v>
      </c>
      <c r="G192" s="309">
        <v>24.37</v>
      </c>
      <c r="H192" s="309">
        <f>G192*F192</f>
        <v>12.185</v>
      </c>
    </row>
    <row r="193" spans="1:8" s="132" customFormat="1" x14ac:dyDescent="0.2">
      <c r="A193" s="621" t="s">
        <v>165</v>
      </c>
      <c r="B193" s="136" t="s">
        <v>304</v>
      </c>
      <c r="C193" s="623" t="s">
        <v>694</v>
      </c>
      <c r="D193" s="622" t="s">
        <v>695</v>
      </c>
      <c r="E193" s="621" t="s">
        <v>153</v>
      </c>
      <c r="F193" s="309">
        <v>0.5</v>
      </c>
      <c r="G193" s="309">
        <v>0.26</v>
      </c>
      <c r="H193" s="309">
        <f t="shared" ref="H193:H194" si="7">G193*F193</f>
        <v>0.13</v>
      </c>
    </row>
    <row r="194" spans="1:8" s="132" customFormat="1" ht="24" x14ac:dyDescent="0.2">
      <c r="A194" s="621" t="s">
        <v>165</v>
      </c>
      <c r="B194" s="136" t="s">
        <v>233</v>
      </c>
      <c r="C194" s="623" t="s">
        <v>697</v>
      </c>
      <c r="D194" s="622" t="s">
        <v>698</v>
      </c>
      <c r="E194" s="621" t="s">
        <v>2</v>
      </c>
      <c r="F194" s="309">
        <v>1</v>
      </c>
      <c r="G194" s="309">
        <v>237.96</v>
      </c>
      <c r="H194" s="309">
        <f t="shared" si="7"/>
        <v>237.96</v>
      </c>
    </row>
    <row r="195" spans="1:8" s="132" customFormat="1" ht="24" x14ac:dyDescent="0.2">
      <c r="A195" s="621" t="s">
        <v>165</v>
      </c>
      <c r="B195" s="136" t="s">
        <v>304</v>
      </c>
      <c r="C195" s="623">
        <v>12057</v>
      </c>
      <c r="D195" s="622" t="s">
        <v>696</v>
      </c>
      <c r="E195" s="621" t="s">
        <v>2</v>
      </c>
      <c r="F195" s="309">
        <v>1</v>
      </c>
      <c r="G195" s="309">
        <v>19.3</v>
      </c>
      <c r="H195" s="309">
        <f t="shared" ref="H195" si="8">G195*F195</f>
        <v>19.3</v>
      </c>
    </row>
    <row r="196" spans="1:8" s="132" customFormat="1" x14ac:dyDescent="0.2">
      <c r="A196" s="175"/>
      <c r="B196" s="175"/>
      <c r="C196" s="175"/>
      <c r="D196" s="175"/>
      <c r="E196" s="175"/>
      <c r="F196" s="175"/>
      <c r="G196" s="624" t="s">
        <v>13</v>
      </c>
      <c r="H196" s="624">
        <f>SUM(H191:H195)</f>
        <v>285.97500000000002</v>
      </c>
    </row>
    <row r="197" spans="1:8" s="132" customFormat="1" x14ac:dyDescent="0.2">
      <c r="A197" s="175"/>
      <c r="B197" s="175"/>
      <c r="C197" s="175"/>
      <c r="D197" s="175"/>
      <c r="E197" s="175"/>
      <c r="F197" s="175"/>
      <c r="G197" s="625"/>
      <c r="H197" s="625"/>
    </row>
    <row r="198" spans="1:8" s="132" customFormat="1" x14ac:dyDescent="0.2">
      <c r="A198" s="175"/>
      <c r="B198" s="175"/>
      <c r="C198" s="175"/>
      <c r="D198" s="175"/>
      <c r="E198" s="175"/>
      <c r="F198" s="175"/>
      <c r="G198" s="625"/>
      <c r="H198" s="625"/>
    </row>
    <row r="199" spans="1:8" s="132" customFormat="1" ht="15" x14ac:dyDescent="0.25">
      <c r="A199" s="175"/>
      <c r="B199" s="175"/>
      <c r="C199" s="175"/>
      <c r="D199" s="175"/>
      <c r="E199" s="175"/>
      <c r="F199" s="626"/>
      <c r="G199" s="625"/>
      <c r="H199" s="625"/>
    </row>
    <row r="200" spans="1:8" s="132" customFormat="1" ht="60" x14ac:dyDescent="0.2">
      <c r="A200" s="401" t="s">
        <v>164</v>
      </c>
      <c r="B200" s="401" t="s">
        <v>11</v>
      </c>
      <c r="C200" s="401" t="s">
        <v>685</v>
      </c>
      <c r="D200" s="402" t="s">
        <v>686</v>
      </c>
      <c r="E200" s="401" t="s">
        <v>2</v>
      </c>
      <c r="F200" s="401" t="s">
        <v>182</v>
      </c>
      <c r="G200" s="401" t="s">
        <v>162</v>
      </c>
      <c r="H200" s="401" t="s">
        <v>163</v>
      </c>
    </row>
    <row r="201" spans="1:8" s="132" customFormat="1" x14ac:dyDescent="0.2">
      <c r="A201" s="621" t="s">
        <v>173</v>
      </c>
      <c r="B201" s="136" t="s">
        <v>303</v>
      </c>
      <c r="C201" s="136">
        <v>88267</v>
      </c>
      <c r="D201" s="137" t="s">
        <v>209</v>
      </c>
      <c r="E201" s="621" t="s">
        <v>156</v>
      </c>
      <c r="F201" s="309">
        <v>1</v>
      </c>
      <c r="G201" s="309">
        <v>32.799999999999997</v>
      </c>
      <c r="H201" s="309">
        <f>G201*F201</f>
        <v>32.799999999999997</v>
      </c>
    </row>
    <row r="202" spans="1:8" s="132" customFormat="1" x14ac:dyDescent="0.2">
      <c r="A202" s="621" t="s">
        <v>173</v>
      </c>
      <c r="B202" s="136" t="s">
        <v>303</v>
      </c>
      <c r="C202" s="621">
        <v>88316</v>
      </c>
      <c r="D202" s="622" t="s">
        <v>160</v>
      </c>
      <c r="E202" s="621" t="s">
        <v>156</v>
      </c>
      <c r="F202" s="309">
        <v>1</v>
      </c>
      <c r="G202" s="309">
        <v>24.37</v>
      </c>
      <c r="H202" s="309">
        <f>G202*F202</f>
        <v>24.37</v>
      </c>
    </row>
    <row r="203" spans="1:8" s="132" customFormat="1" x14ac:dyDescent="0.2">
      <c r="A203" s="621" t="s">
        <v>165</v>
      </c>
      <c r="B203" s="136" t="s">
        <v>304</v>
      </c>
      <c r="C203" s="621">
        <v>6755</v>
      </c>
      <c r="D203" s="622" t="s">
        <v>691</v>
      </c>
      <c r="E203" s="621" t="s">
        <v>2</v>
      </c>
      <c r="F203" s="309">
        <v>1</v>
      </c>
      <c r="G203" s="309">
        <v>2241.02</v>
      </c>
      <c r="H203" s="309">
        <f t="shared" ref="H203:H206" si="9">G203*F203</f>
        <v>2241.02</v>
      </c>
    </row>
    <row r="204" spans="1:8" s="132" customFormat="1" ht="24" x14ac:dyDescent="0.2">
      <c r="A204" s="621" t="s">
        <v>165</v>
      </c>
      <c r="B204" s="136" t="s">
        <v>303</v>
      </c>
      <c r="C204" s="623" t="s">
        <v>687</v>
      </c>
      <c r="D204" s="622" t="s">
        <v>689</v>
      </c>
      <c r="E204" s="621" t="s">
        <v>2</v>
      </c>
      <c r="F204" s="309">
        <v>1</v>
      </c>
      <c r="G204" s="309">
        <v>4.79</v>
      </c>
      <c r="H204" s="309">
        <f t="shared" si="9"/>
        <v>4.79</v>
      </c>
    </row>
    <row r="205" spans="1:8" s="132" customFormat="1" ht="24" x14ac:dyDescent="0.2">
      <c r="A205" s="621" t="s">
        <v>165</v>
      </c>
      <c r="B205" s="136" t="s">
        <v>304</v>
      </c>
      <c r="C205" s="621">
        <v>2016</v>
      </c>
      <c r="D205" s="622" t="s">
        <v>692</v>
      </c>
      <c r="E205" s="621" t="s">
        <v>2</v>
      </c>
      <c r="F205" s="309">
        <v>1</v>
      </c>
      <c r="G205" s="309">
        <v>399.89</v>
      </c>
      <c r="H205" s="309">
        <f t="shared" si="9"/>
        <v>399.89</v>
      </c>
    </row>
    <row r="206" spans="1:8" s="132" customFormat="1" x14ac:dyDescent="0.2">
      <c r="A206" s="621" t="s">
        <v>165</v>
      </c>
      <c r="B206" s="136" t="s">
        <v>303</v>
      </c>
      <c r="C206" s="623" t="s">
        <v>688</v>
      </c>
      <c r="D206" s="622" t="s">
        <v>690</v>
      </c>
      <c r="E206" s="621" t="s">
        <v>2</v>
      </c>
      <c r="F206" s="309">
        <v>1</v>
      </c>
      <c r="G206" s="309">
        <v>50.79</v>
      </c>
      <c r="H206" s="309">
        <f t="shared" si="9"/>
        <v>50.79</v>
      </c>
    </row>
    <row r="207" spans="1:8" s="132" customFormat="1" x14ac:dyDescent="0.2">
      <c r="A207" s="175"/>
      <c r="B207" s="175"/>
      <c r="C207" s="175"/>
      <c r="D207" s="175"/>
      <c r="E207" s="175"/>
      <c r="F207" s="175"/>
      <c r="G207" s="624" t="s">
        <v>13</v>
      </c>
      <c r="H207" s="624">
        <f>SUM(H201:H206)</f>
        <v>2753.66</v>
      </c>
    </row>
    <row r="208" spans="1:8" s="132" customFormat="1" x14ac:dyDescent="0.2">
      <c r="A208" s="175"/>
      <c r="B208" s="175"/>
      <c r="C208" s="175"/>
      <c r="D208" s="175"/>
      <c r="E208" s="175"/>
      <c r="F208" s="175"/>
      <c r="G208" s="625"/>
      <c r="H208" s="625"/>
    </row>
    <row r="209" spans="1:11" s="132" customFormat="1" x14ac:dyDescent="0.2">
      <c r="A209" s="175"/>
      <c r="B209" s="175"/>
      <c r="C209" s="175"/>
      <c r="D209" s="175"/>
      <c r="E209" s="175"/>
      <c r="F209" s="175"/>
      <c r="G209" s="625"/>
      <c r="H209" s="625"/>
    </row>
    <row r="210" spans="1:11" s="132" customFormat="1" ht="13.5" thickBot="1" x14ac:dyDescent="0.25">
      <c r="A210" s="175"/>
      <c r="B210" s="175"/>
      <c r="C210" s="175"/>
      <c r="D210" s="175"/>
      <c r="E210" s="175"/>
      <c r="F210" s="175"/>
      <c r="G210" s="175"/>
      <c r="H210" s="175"/>
    </row>
    <row r="211" spans="1:11" s="132" customFormat="1" ht="15" customHeight="1" thickBot="1" x14ac:dyDescent="0.25">
      <c r="A211" s="678" t="str">
        <f>SERVIÇOS!D153</f>
        <v>INSTALAÇÕES ELÉTRICAS</v>
      </c>
      <c r="B211" s="679"/>
      <c r="C211" s="679"/>
      <c r="D211" s="679"/>
      <c r="E211" s="679"/>
      <c r="F211" s="679"/>
      <c r="G211" s="679"/>
      <c r="H211" s="679"/>
    </row>
    <row r="212" spans="1:11" s="132" customFormat="1" x14ac:dyDescent="0.2">
      <c r="A212" s="14"/>
      <c r="B212" s="14"/>
      <c r="C212" s="14"/>
      <c r="D212" s="14"/>
      <c r="E212" s="14"/>
      <c r="F212" s="14"/>
      <c r="G212" s="14"/>
      <c r="H212" s="14"/>
    </row>
    <row r="213" spans="1:11" s="132" customFormat="1" x14ac:dyDescent="0.2">
      <c r="A213" s="14"/>
      <c r="B213" s="14"/>
      <c r="C213" s="14"/>
      <c r="D213" s="14"/>
      <c r="E213" s="14"/>
      <c r="F213" s="14"/>
      <c r="G213" s="14"/>
      <c r="H213" s="14"/>
    </row>
    <row r="214" spans="1:11" s="132" customFormat="1" ht="36" x14ac:dyDescent="0.2">
      <c r="A214" s="401" t="s">
        <v>164</v>
      </c>
      <c r="B214" s="401" t="s">
        <v>11</v>
      </c>
      <c r="C214" s="401" t="s">
        <v>553</v>
      </c>
      <c r="D214" s="402" t="s">
        <v>676</v>
      </c>
      <c r="E214" s="401" t="s">
        <v>2</v>
      </c>
      <c r="F214" s="401" t="s">
        <v>182</v>
      </c>
      <c r="G214" s="401" t="s">
        <v>162</v>
      </c>
      <c r="H214" s="401" t="s">
        <v>163</v>
      </c>
    </row>
    <row r="215" spans="1:11" s="132" customFormat="1" ht="33" customHeight="1" x14ac:dyDescent="0.2">
      <c r="A215" s="136" t="s">
        <v>165</v>
      </c>
      <c r="B215" s="136" t="s">
        <v>304</v>
      </c>
      <c r="C215" s="136">
        <v>6844</v>
      </c>
      <c r="D215" s="137" t="str">
        <f>UPPER("Luminária de embutir com aletas, para lâmpada fluorescente, 2 x 32w, ref. TBS020232CI00, da Philips, exclusive reator e lâmpada")</f>
        <v>LUMINÁRIA DE EMBUTIR COM ALETAS, PARA LÂMPADA FLUORESCENTE, 2 X 32W, REF. TBS020232CI00, DA PHILIPS, EXCLUSIVE REATOR E LÂMPADA</v>
      </c>
      <c r="E215" s="136" t="s">
        <v>2</v>
      </c>
      <c r="F215" s="138">
        <v>1</v>
      </c>
      <c r="G215" s="627">
        <v>112</v>
      </c>
      <c r="H215" s="627">
        <f>G215*F215</f>
        <v>112</v>
      </c>
      <c r="I215" s="168"/>
    </row>
    <row r="216" spans="1:11" s="132" customFormat="1" x14ac:dyDescent="0.2">
      <c r="A216" s="136" t="s">
        <v>165</v>
      </c>
      <c r="B216" s="628" t="s">
        <v>303</v>
      </c>
      <c r="C216" s="136">
        <v>39387</v>
      </c>
      <c r="D216" s="137" t="s">
        <v>548</v>
      </c>
      <c r="E216" s="136" t="s">
        <v>2</v>
      </c>
      <c r="F216" s="138">
        <v>2</v>
      </c>
      <c r="G216" s="138">
        <v>9.08</v>
      </c>
      <c r="H216" s="138">
        <f>G216*F216</f>
        <v>18.16</v>
      </c>
      <c r="I216" s="168"/>
    </row>
    <row r="217" spans="1:11" s="132" customFormat="1" x14ac:dyDescent="0.2">
      <c r="A217" s="136" t="s">
        <v>164</v>
      </c>
      <c r="B217" s="136" t="s">
        <v>303</v>
      </c>
      <c r="C217" s="136">
        <v>88247</v>
      </c>
      <c r="D217" s="137" t="s">
        <v>174</v>
      </c>
      <c r="E217" s="136" t="s">
        <v>156</v>
      </c>
      <c r="F217" s="629">
        <v>0.1958125</v>
      </c>
      <c r="G217" s="138">
        <v>25.56</v>
      </c>
      <c r="H217" s="138">
        <f>G217*F217</f>
        <v>5.0049674999999993</v>
      </c>
      <c r="I217" s="168"/>
    </row>
    <row r="218" spans="1:11" s="132" customFormat="1" x14ac:dyDescent="0.2">
      <c r="A218" s="136" t="s">
        <v>164</v>
      </c>
      <c r="B218" s="136" t="s">
        <v>303</v>
      </c>
      <c r="C218" s="136">
        <v>88264</v>
      </c>
      <c r="D218" s="137" t="s">
        <v>172</v>
      </c>
      <c r="E218" s="136" t="s">
        <v>156</v>
      </c>
      <c r="F218" s="629">
        <v>0.62660000000000005</v>
      </c>
      <c r="G218" s="138">
        <v>33.94</v>
      </c>
      <c r="H218" s="138">
        <f t="shared" ref="H218" si="10">G218*F218</f>
        <v>21.266804</v>
      </c>
      <c r="I218" s="168"/>
    </row>
    <row r="219" spans="1:11" s="132" customFormat="1" x14ac:dyDescent="0.2">
      <c r="A219" s="158"/>
      <c r="B219" s="158"/>
      <c r="C219" s="158"/>
      <c r="D219" s="158"/>
      <c r="E219" s="158"/>
      <c r="F219" s="630"/>
      <c r="G219" s="631" t="s">
        <v>13</v>
      </c>
      <c r="H219" s="631">
        <f>SUM(H215:H218)</f>
        <v>156.4317715</v>
      </c>
      <c r="I219" s="168"/>
    </row>
    <row r="220" spans="1:11" x14ac:dyDescent="0.2">
      <c r="A220" s="158"/>
      <c r="B220" s="158"/>
      <c r="C220" s="158"/>
      <c r="D220" s="158"/>
      <c r="E220" s="158"/>
      <c r="F220" s="158"/>
      <c r="G220" s="158"/>
      <c r="H220" s="158"/>
      <c r="I220" s="57"/>
      <c r="J220" s="57"/>
      <c r="K220" s="57"/>
    </row>
    <row r="221" spans="1:11" x14ac:dyDescent="0.2">
      <c r="A221" s="158"/>
      <c r="B221" s="158"/>
      <c r="C221" s="158"/>
      <c r="D221" s="158"/>
      <c r="E221" s="158"/>
      <c r="F221" s="158"/>
      <c r="G221" s="158"/>
      <c r="H221" s="158"/>
      <c r="I221" s="57"/>
      <c r="J221" s="57"/>
      <c r="K221" s="57"/>
    </row>
    <row r="222" spans="1:11" s="132" customFormat="1" x14ac:dyDescent="0.2">
      <c r="A222" s="14"/>
      <c r="B222" s="14"/>
      <c r="C222" s="14"/>
      <c r="D222" s="14"/>
      <c r="E222" s="14"/>
      <c r="F222" s="14"/>
      <c r="G222" s="14"/>
      <c r="H222" s="14"/>
    </row>
    <row r="223" spans="1:11" s="132" customFormat="1" ht="36" x14ac:dyDescent="0.2">
      <c r="A223" s="401" t="s">
        <v>164</v>
      </c>
      <c r="B223" s="401" t="s">
        <v>11</v>
      </c>
      <c r="C223" s="401" t="s">
        <v>547</v>
      </c>
      <c r="D223" s="402" t="s">
        <v>549</v>
      </c>
      <c r="E223" s="401" t="s">
        <v>2</v>
      </c>
      <c r="F223" s="401" t="s">
        <v>182</v>
      </c>
      <c r="G223" s="401" t="s">
        <v>162</v>
      </c>
      <c r="H223" s="401" t="s">
        <v>163</v>
      </c>
    </row>
    <row r="224" spans="1:11" s="132" customFormat="1" ht="24" x14ac:dyDescent="0.2">
      <c r="A224" s="136" t="s">
        <v>165</v>
      </c>
      <c r="B224" s="136" t="s">
        <v>550</v>
      </c>
      <c r="C224" s="136" t="s">
        <v>551</v>
      </c>
      <c r="D224" s="137" t="s">
        <v>552</v>
      </c>
      <c r="E224" s="136" t="s">
        <v>2</v>
      </c>
      <c r="F224" s="138">
        <v>1</v>
      </c>
      <c r="G224" s="627">
        <v>326.22000000000003</v>
      </c>
      <c r="H224" s="627">
        <f>G224*F224</f>
        <v>326.22000000000003</v>
      </c>
      <c r="I224" s="168"/>
    </row>
    <row r="225" spans="1:11" s="132" customFormat="1" x14ac:dyDescent="0.2">
      <c r="A225" s="136" t="s">
        <v>165</v>
      </c>
      <c r="B225" s="628" t="s">
        <v>303</v>
      </c>
      <c r="C225" s="136">
        <v>39387</v>
      </c>
      <c r="D225" s="137" t="s">
        <v>548</v>
      </c>
      <c r="E225" s="136" t="s">
        <v>2</v>
      </c>
      <c r="F225" s="138">
        <v>2</v>
      </c>
      <c r="G225" s="138">
        <v>9.08</v>
      </c>
      <c r="H225" s="138">
        <f>G225*F225</f>
        <v>18.16</v>
      </c>
      <c r="I225" s="168"/>
    </row>
    <row r="226" spans="1:11" s="132" customFormat="1" x14ac:dyDescent="0.2">
      <c r="A226" s="136" t="s">
        <v>164</v>
      </c>
      <c r="B226" s="136" t="s">
        <v>303</v>
      </c>
      <c r="C226" s="136">
        <v>88316</v>
      </c>
      <c r="D226" s="137" t="s">
        <v>160</v>
      </c>
      <c r="E226" s="136" t="s">
        <v>156</v>
      </c>
      <c r="F226" s="138">
        <v>1</v>
      </c>
      <c r="G226" s="138">
        <v>24.37</v>
      </c>
      <c r="H226" s="138">
        <f>G226*F226</f>
        <v>24.37</v>
      </c>
      <c r="I226" s="168"/>
    </row>
    <row r="227" spans="1:11" s="132" customFormat="1" x14ac:dyDescent="0.2">
      <c r="A227" s="136" t="s">
        <v>164</v>
      </c>
      <c r="B227" s="136" t="s">
        <v>303</v>
      </c>
      <c r="C227" s="136">
        <v>88264</v>
      </c>
      <c r="D227" s="137" t="s">
        <v>172</v>
      </c>
      <c r="E227" s="136" t="s">
        <v>156</v>
      </c>
      <c r="F227" s="138">
        <v>1</v>
      </c>
      <c r="G227" s="138">
        <v>33.94</v>
      </c>
      <c r="H227" s="138">
        <f t="shared" ref="H227" si="11">G227*F227</f>
        <v>33.94</v>
      </c>
      <c r="I227" s="168"/>
    </row>
    <row r="228" spans="1:11" s="132" customFormat="1" x14ac:dyDescent="0.2">
      <c r="A228" s="158"/>
      <c r="B228" s="158"/>
      <c r="C228" s="158"/>
      <c r="D228" s="158"/>
      <c r="E228" s="158"/>
      <c r="F228" s="630"/>
      <c r="G228" s="631" t="s">
        <v>13</v>
      </c>
      <c r="H228" s="631">
        <f>SUM(H224:H227)</f>
        <v>402.69000000000005</v>
      </c>
      <c r="I228" s="168"/>
    </row>
    <row r="229" spans="1:11" x14ac:dyDescent="0.2">
      <c r="A229" s="158"/>
      <c r="B229" s="158"/>
      <c r="C229" s="158"/>
      <c r="D229" s="158"/>
      <c r="E229" s="158"/>
      <c r="F229" s="158"/>
      <c r="G229" s="158"/>
      <c r="H229" s="158"/>
      <c r="I229" s="57"/>
      <c r="J229" s="57"/>
      <c r="K229" s="57"/>
    </row>
    <row r="230" spans="1:11" x14ac:dyDescent="0.2">
      <c r="A230" s="158"/>
      <c r="B230" s="158"/>
      <c r="C230" s="158"/>
      <c r="D230" s="158"/>
      <c r="E230" s="158"/>
      <c r="F230" s="158"/>
      <c r="G230" s="158"/>
      <c r="H230" s="158"/>
    </row>
    <row r="231" spans="1:11" s="132" customFormat="1" x14ac:dyDescent="0.2">
      <c r="A231" s="14"/>
      <c r="B231" s="14"/>
      <c r="C231" s="14"/>
      <c r="D231" s="14"/>
      <c r="E231" s="14"/>
      <c r="F231" s="14"/>
      <c r="G231" s="14"/>
      <c r="H231" s="14"/>
    </row>
    <row r="232" spans="1:11" s="132" customFormat="1" ht="24" x14ac:dyDescent="0.2">
      <c r="A232" s="401" t="s">
        <v>164</v>
      </c>
      <c r="B232" s="401" t="s">
        <v>11</v>
      </c>
      <c r="C232" s="401" t="s">
        <v>28</v>
      </c>
      <c r="D232" s="402" t="s">
        <v>400</v>
      </c>
      <c r="E232" s="401" t="s">
        <v>2</v>
      </c>
      <c r="F232" s="401" t="s">
        <v>182</v>
      </c>
      <c r="G232" s="401" t="s">
        <v>162</v>
      </c>
      <c r="H232" s="401" t="s">
        <v>163</v>
      </c>
    </row>
    <row r="233" spans="1:11" s="132" customFormat="1" ht="24" x14ac:dyDescent="0.2">
      <c r="A233" s="136" t="s">
        <v>165</v>
      </c>
      <c r="B233" s="136" t="s">
        <v>304</v>
      </c>
      <c r="C233" s="136">
        <v>4029</v>
      </c>
      <c r="D233" s="136" t="s">
        <v>401</v>
      </c>
      <c r="E233" s="136" t="s">
        <v>2</v>
      </c>
      <c r="F233" s="136">
        <v>1</v>
      </c>
      <c r="G233" s="136">
        <v>84.57</v>
      </c>
      <c r="H233" s="136">
        <f>G233*F233</f>
        <v>84.57</v>
      </c>
    </row>
    <row r="234" spans="1:11" s="132" customFormat="1" x14ac:dyDescent="0.2">
      <c r="A234" s="136" t="s">
        <v>164</v>
      </c>
      <c r="B234" s="136" t="s">
        <v>303</v>
      </c>
      <c r="C234" s="136">
        <v>88316</v>
      </c>
      <c r="D234" s="137" t="s">
        <v>160</v>
      </c>
      <c r="E234" s="136" t="s">
        <v>156</v>
      </c>
      <c r="F234" s="136">
        <v>0.4</v>
      </c>
      <c r="G234" s="136">
        <v>24.37</v>
      </c>
      <c r="H234" s="136">
        <f>G234*F234</f>
        <v>9.7480000000000011</v>
      </c>
    </row>
    <row r="235" spans="1:11" s="132" customFormat="1" x14ac:dyDescent="0.2">
      <c r="A235" s="136" t="s">
        <v>164</v>
      </c>
      <c r="B235" s="136" t="s">
        <v>303</v>
      </c>
      <c r="C235" s="136">
        <v>88264</v>
      </c>
      <c r="D235" s="137" t="s">
        <v>172</v>
      </c>
      <c r="E235" s="136" t="s">
        <v>156</v>
      </c>
      <c r="F235" s="136">
        <v>0.4</v>
      </c>
      <c r="G235" s="136">
        <v>33.94</v>
      </c>
      <c r="H235" s="136">
        <f t="shared" ref="H235" si="12">G235*F235</f>
        <v>13.576000000000001</v>
      </c>
    </row>
    <row r="236" spans="1:11" s="132" customFormat="1" x14ac:dyDescent="0.2">
      <c r="A236" s="158"/>
      <c r="B236" s="158"/>
      <c r="C236" s="158"/>
      <c r="D236" s="158"/>
      <c r="E236" s="158"/>
      <c r="F236" s="158"/>
      <c r="G236" s="403" t="s">
        <v>13</v>
      </c>
      <c r="H236" s="403">
        <f>SUM(H233:H235)</f>
        <v>107.89400000000001</v>
      </c>
    </row>
    <row r="237" spans="1:11" x14ac:dyDescent="0.2">
      <c r="A237" s="158"/>
      <c r="B237" s="158"/>
      <c r="C237" s="158"/>
      <c r="D237" s="158"/>
      <c r="E237" s="158"/>
      <c r="F237" s="158"/>
      <c r="G237" s="158"/>
      <c r="H237" s="158"/>
      <c r="I237" s="57"/>
      <c r="J237" s="57"/>
      <c r="K237" s="57"/>
    </row>
    <row r="238" spans="1:11" x14ac:dyDescent="0.2">
      <c r="A238" s="158"/>
      <c r="B238" s="158"/>
      <c r="C238" s="158"/>
      <c r="D238" s="158"/>
      <c r="E238" s="158"/>
      <c r="F238" s="158"/>
      <c r="G238" s="158"/>
      <c r="H238" s="158"/>
    </row>
    <row r="239" spans="1:11" ht="24" x14ac:dyDescent="0.2">
      <c r="A239" s="401" t="s">
        <v>164</v>
      </c>
      <c r="B239" s="401" t="s">
        <v>11</v>
      </c>
      <c r="C239" s="401" t="s">
        <v>28</v>
      </c>
      <c r="D239" s="402" t="s">
        <v>402</v>
      </c>
      <c r="E239" s="401" t="s">
        <v>2</v>
      </c>
      <c r="F239" s="401" t="s">
        <v>182</v>
      </c>
      <c r="G239" s="401" t="s">
        <v>162</v>
      </c>
      <c r="H239" s="401" t="s">
        <v>163</v>
      </c>
    </row>
    <row r="240" spans="1:11" ht="24" x14ac:dyDescent="0.2">
      <c r="A240" s="136" t="s">
        <v>165</v>
      </c>
      <c r="B240" s="136" t="s">
        <v>403</v>
      </c>
      <c r="C240" s="136">
        <v>12002</v>
      </c>
      <c r="D240" s="136" t="s">
        <v>404</v>
      </c>
      <c r="E240" s="136" t="s">
        <v>2</v>
      </c>
      <c r="F240" s="136">
        <v>1</v>
      </c>
      <c r="G240" s="136">
        <v>48.94</v>
      </c>
      <c r="H240" s="136">
        <f>G240*F240</f>
        <v>48.94</v>
      </c>
    </row>
    <row r="241" spans="1:8" x14ac:dyDescent="0.2">
      <c r="A241" s="136" t="s">
        <v>164</v>
      </c>
      <c r="B241" s="136" t="s">
        <v>303</v>
      </c>
      <c r="C241" s="136">
        <v>88316</v>
      </c>
      <c r="D241" s="137" t="s">
        <v>160</v>
      </c>
      <c r="E241" s="136" t="s">
        <v>156</v>
      </c>
      <c r="F241" s="136">
        <v>0.2</v>
      </c>
      <c r="G241" s="136">
        <v>24.37</v>
      </c>
      <c r="H241" s="136">
        <f>G241*F241</f>
        <v>4.8740000000000006</v>
      </c>
    </row>
    <row r="242" spans="1:8" x14ac:dyDescent="0.2">
      <c r="A242" s="136" t="s">
        <v>164</v>
      </c>
      <c r="B242" s="136" t="s">
        <v>303</v>
      </c>
      <c r="C242" s="136">
        <v>88264</v>
      </c>
      <c r="D242" s="137" t="s">
        <v>172</v>
      </c>
      <c r="E242" s="136" t="s">
        <v>156</v>
      </c>
      <c r="F242" s="136">
        <v>0.2</v>
      </c>
      <c r="G242" s="136">
        <v>33.94</v>
      </c>
      <c r="H242" s="136">
        <f t="shared" ref="H242" si="13">G242*F242</f>
        <v>6.7880000000000003</v>
      </c>
    </row>
    <row r="243" spans="1:8" ht="12.75" customHeight="1" x14ac:dyDescent="0.2">
      <c r="A243" s="158"/>
      <c r="B243" s="158"/>
      <c r="C243" s="158"/>
      <c r="D243" s="158"/>
      <c r="E243" s="158"/>
      <c r="F243" s="158"/>
      <c r="G243" s="403" t="s">
        <v>13</v>
      </c>
      <c r="H243" s="403">
        <f>SUM(H240:H242)</f>
        <v>60.602000000000004</v>
      </c>
    </row>
    <row r="244" spans="1:8" x14ac:dyDescent="0.2">
      <c r="A244" s="158"/>
      <c r="B244" s="158"/>
      <c r="C244" s="158"/>
      <c r="D244" s="158"/>
      <c r="E244" s="158"/>
      <c r="F244" s="158"/>
      <c r="G244" s="158"/>
      <c r="H244" s="158"/>
    </row>
    <row r="245" spans="1:8" x14ac:dyDescent="0.2">
      <c r="A245" s="158"/>
      <c r="B245" s="158"/>
      <c r="C245" s="158"/>
      <c r="D245" s="158"/>
      <c r="E245" s="158"/>
      <c r="F245" s="158"/>
      <c r="G245" s="158"/>
      <c r="H245" s="158"/>
    </row>
    <row r="246" spans="1:8" ht="24" x14ac:dyDescent="0.2">
      <c r="A246" s="401" t="s">
        <v>164</v>
      </c>
      <c r="B246" s="401" t="s">
        <v>11</v>
      </c>
      <c r="C246" s="401" t="s">
        <v>28</v>
      </c>
      <c r="D246" s="402" t="s">
        <v>405</v>
      </c>
      <c r="E246" s="401" t="s">
        <v>2</v>
      </c>
      <c r="F246" s="401" t="s">
        <v>182</v>
      </c>
      <c r="G246" s="401" t="s">
        <v>162</v>
      </c>
      <c r="H246" s="401" t="s">
        <v>163</v>
      </c>
    </row>
    <row r="247" spans="1:8" ht="24" x14ac:dyDescent="0.2">
      <c r="A247" s="136" t="s">
        <v>165</v>
      </c>
      <c r="B247" s="136" t="s">
        <v>403</v>
      </c>
      <c r="C247" s="136">
        <v>12056</v>
      </c>
      <c r="D247" s="136" t="s">
        <v>405</v>
      </c>
      <c r="E247" s="136" t="s">
        <v>2</v>
      </c>
      <c r="F247" s="136">
        <v>1</v>
      </c>
      <c r="G247" s="136">
        <v>29.76</v>
      </c>
      <c r="H247" s="136">
        <f>G247*F247</f>
        <v>29.76</v>
      </c>
    </row>
    <row r="248" spans="1:8" x14ac:dyDescent="0.2">
      <c r="A248" s="136" t="s">
        <v>164</v>
      </c>
      <c r="B248" s="136" t="s">
        <v>303</v>
      </c>
      <c r="C248" s="136">
        <v>88316</v>
      </c>
      <c r="D248" s="137" t="s">
        <v>160</v>
      </c>
      <c r="E248" s="136" t="s">
        <v>156</v>
      </c>
      <c r="F248" s="136">
        <v>0.2</v>
      </c>
      <c r="G248" s="136">
        <v>24.37</v>
      </c>
      <c r="H248" s="136">
        <f>G248*F248</f>
        <v>4.8740000000000006</v>
      </c>
    </row>
    <row r="249" spans="1:8" x14ac:dyDescent="0.2">
      <c r="A249" s="136" t="s">
        <v>164</v>
      </c>
      <c r="B249" s="136" t="s">
        <v>303</v>
      </c>
      <c r="C249" s="136">
        <v>88264</v>
      </c>
      <c r="D249" s="137" t="s">
        <v>172</v>
      </c>
      <c r="E249" s="136" t="s">
        <v>156</v>
      </c>
      <c r="F249" s="136">
        <v>0.2</v>
      </c>
      <c r="G249" s="136">
        <v>33.94</v>
      </c>
      <c r="H249" s="136">
        <f t="shared" ref="H249" si="14">G249*F249</f>
        <v>6.7880000000000003</v>
      </c>
    </row>
    <row r="250" spans="1:8" x14ac:dyDescent="0.2">
      <c r="A250" s="158"/>
      <c r="B250" s="158"/>
      <c r="C250" s="158"/>
      <c r="D250" s="158"/>
      <c r="E250" s="158"/>
      <c r="F250" s="158"/>
      <c r="G250" s="403" t="s">
        <v>13</v>
      </c>
      <c r="H250" s="403">
        <f>SUM(H247:H249)</f>
        <v>41.421999999999997</v>
      </c>
    </row>
    <row r="251" spans="1:8" x14ac:dyDescent="0.2">
      <c r="A251" s="158"/>
      <c r="B251" s="158"/>
      <c r="C251" s="158"/>
      <c r="D251" s="158"/>
      <c r="E251" s="158"/>
      <c r="F251" s="158"/>
      <c r="G251" s="158"/>
      <c r="H251" s="158"/>
    </row>
    <row r="252" spans="1:8" x14ac:dyDescent="0.2">
      <c r="A252" s="158"/>
      <c r="B252" s="158"/>
      <c r="C252" s="158"/>
      <c r="D252" s="158"/>
      <c r="E252" s="158"/>
      <c r="F252" s="158"/>
      <c r="G252" s="158"/>
      <c r="H252" s="158"/>
    </row>
    <row r="253" spans="1:8" ht="24" x14ac:dyDescent="0.2">
      <c r="A253" s="401" t="s">
        <v>164</v>
      </c>
      <c r="B253" s="401" t="s">
        <v>11</v>
      </c>
      <c r="C253" s="401" t="s">
        <v>28</v>
      </c>
      <c r="D253" s="402" t="s">
        <v>406</v>
      </c>
      <c r="E253" s="401" t="s">
        <v>2</v>
      </c>
      <c r="F253" s="401" t="s">
        <v>182</v>
      </c>
      <c r="G253" s="401" t="s">
        <v>162</v>
      </c>
      <c r="H253" s="401" t="s">
        <v>163</v>
      </c>
    </row>
    <row r="254" spans="1:8" ht="24" x14ac:dyDescent="0.2">
      <c r="A254" s="136" t="s">
        <v>165</v>
      </c>
      <c r="B254" s="136" t="s">
        <v>403</v>
      </c>
      <c r="C254" s="136">
        <v>12128</v>
      </c>
      <c r="D254" s="136" t="s">
        <v>406</v>
      </c>
      <c r="E254" s="136" t="s">
        <v>2</v>
      </c>
      <c r="F254" s="136">
        <v>1</v>
      </c>
      <c r="G254" s="136">
        <v>56.54</v>
      </c>
      <c r="H254" s="136">
        <f>G254*F254</f>
        <v>56.54</v>
      </c>
    </row>
    <row r="255" spans="1:8" x14ac:dyDescent="0.2">
      <c r="A255" s="136" t="s">
        <v>164</v>
      </c>
      <c r="B255" s="136" t="s">
        <v>303</v>
      </c>
      <c r="C255" s="136">
        <v>88316</v>
      </c>
      <c r="D255" s="137" t="s">
        <v>160</v>
      </c>
      <c r="E255" s="136" t="s">
        <v>156</v>
      </c>
      <c r="F255" s="136">
        <v>0.5</v>
      </c>
      <c r="G255" s="136">
        <v>24.37</v>
      </c>
      <c r="H255" s="136">
        <f>G255*F255</f>
        <v>12.185</v>
      </c>
    </row>
    <row r="256" spans="1:8" x14ac:dyDescent="0.2">
      <c r="A256" s="136" t="s">
        <v>164</v>
      </c>
      <c r="B256" s="136" t="s">
        <v>303</v>
      </c>
      <c r="C256" s="136">
        <v>88264</v>
      </c>
      <c r="D256" s="137" t="s">
        <v>172</v>
      </c>
      <c r="E256" s="136" t="s">
        <v>156</v>
      </c>
      <c r="F256" s="136">
        <v>0.5</v>
      </c>
      <c r="G256" s="136">
        <v>33.94</v>
      </c>
      <c r="H256" s="136">
        <f t="shared" ref="H256" si="15">G256*F256</f>
        <v>16.97</v>
      </c>
    </row>
    <row r="257" spans="1:11" x14ac:dyDescent="0.2">
      <c r="A257" s="158"/>
      <c r="B257" s="158"/>
      <c r="C257" s="158"/>
      <c r="D257" s="158"/>
      <c r="E257" s="158"/>
      <c r="F257" s="158"/>
      <c r="G257" s="403" t="s">
        <v>13</v>
      </c>
      <c r="H257" s="403">
        <f>SUM(H254:H256)</f>
        <v>85.694999999999993</v>
      </c>
    </row>
    <row r="258" spans="1:11" x14ac:dyDescent="0.2">
      <c r="A258" s="158"/>
      <c r="B258" s="158"/>
      <c r="C258" s="158"/>
      <c r="D258" s="158"/>
      <c r="E258" s="158"/>
      <c r="F258" s="158"/>
      <c r="G258" s="404"/>
      <c r="H258" s="404"/>
    </row>
    <row r="259" spans="1:11" x14ac:dyDescent="0.2">
      <c r="A259" s="158"/>
      <c r="B259" s="158"/>
      <c r="C259" s="158"/>
      <c r="D259" s="158"/>
      <c r="E259" s="158"/>
      <c r="F259" s="158"/>
      <c r="G259" s="404"/>
      <c r="H259" s="404"/>
    </row>
    <row r="260" spans="1:11" ht="72" x14ac:dyDescent="0.2">
      <c r="A260" s="401" t="s">
        <v>164</v>
      </c>
      <c r="B260" s="401" t="s">
        <v>677</v>
      </c>
      <c r="C260" s="401" t="s">
        <v>28</v>
      </c>
      <c r="D260" s="402" t="s">
        <v>558</v>
      </c>
      <c r="E260" s="401" t="s">
        <v>2</v>
      </c>
      <c r="F260" s="401" t="s">
        <v>182</v>
      </c>
      <c r="G260" s="401" t="s">
        <v>162</v>
      </c>
      <c r="H260" s="401" t="s">
        <v>163</v>
      </c>
    </row>
    <row r="261" spans="1:11" ht="52.5" customHeight="1" x14ac:dyDescent="0.2">
      <c r="A261" s="136" t="s">
        <v>165</v>
      </c>
      <c r="B261" s="372" t="s">
        <v>304</v>
      </c>
      <c r="C261" s="372">
        <v>14189</v>
      </c>
      <c r="D261" s="632" t="str">
        <f>UPPER("Quadro geral de sobrepor, medindo 900 x 800 x 200 mm, em chapa galvanizada, pintado eletrostaticamente na cor bege, com barramento para geral de 300 A. Exclusive disjuntores")</f>
        <v>QUADRO GERAL DE SOBREPOR, MEDINDO 900 X 800 X 200 MM, EM CHAPA GALVANIZADA, PINTADO ELETROSTATICAMENTE NA COR BEGE, COM BARRAMENTO PARA GERAL DE 300 A. EXCLUSIVE DISJUNTORES</v>
      </c>
      <c r="E261" s="136" t="s">
        <v>2</v>
      </c>
      <c r="F261" s="138">
        <v>1</v>
      </c>
      <c r="G261" s="138">
        <v>3658.99</v>
      </c>
      <c r="H261" s="138">
        <f>G261*F261</f>
        <v>3658.99</v>
      </c>
      <c r="I261" s="57"/>
      <c r="J261" s="57"/>
      <c r="K261" s="57"/>
    </row>
    <row r="262" spans="1:11" ht="24" x14ac:dyDescent="0.2">
      <c r="A262" s="136" t="s">
        <v>165</v>
      </c>
      <c r="B262" s="136" t="s">
        <v>303</v>
      </c>
      <c r="C262" s="633" t="s">
        <v>678</v>
      </c>
      <c r="D262" s="632" t="s">
        <v>679</v>
      </c>
      <c r="E262" s="136" t="s">
        <v>2</v>
      </c>
      <c r="F262" s="138">
        <v>6</v>
      </c>
      <c r="G262" s="138">
        <v>0.93</v>
      </c>
      <c r="H262" s="138">
        <f t="shared" ref="H262:H264" si="16">G262*F262</f>
        <v>5.58</v>
      </c>
      <c r="I262" s="57"/>
      <c r="J262" s="57"/>
      <c r="K262" s="57"/>
    </row>
    <row r="263" spans="1:11" x14ac:dyDescent="0.2">
      <c r="A263" s="136" t="s">
        <v>164</v>
      </c>
      <c r="B263" s="136" t="s">
        <v>303</v>
      </c>
      <c r="C263" s="136">
        <v>88264</v>
      </c>
      <c r="D263" s="137" t="s">
        <v>172</v>
      </c>
      <c r="E263" s="136" t="s">
        <v>156</v>
      </c>
      <c r="F263" s="138">
        <v>2</v>
      </c>
      <c r="G263" s="138">
        <v>33.94</v>
      </c>
      <c r="H263" s="138">
        <f t="shared" si="16"/>
        <v>67.88</v>
      </c>
      <c r="I263" s="57"/>
      <c r="J263" s="57"/>
      <c r="K263" s="57"/>
    </row>
    <row r="264" spans="1:11" x14ac:dyDescent="0.2">
      <c r="A264" s="136" t="s">
        <v>164</v>
      </c>
      <c r="B264" s="136" t="s">
        <v>303</v>
      </c>
      <c r="C264" s="136">
        <v>88247</v>
      </c>
      <c r="D264" s="137" t="s">
        <v>174</v>
      </c>
      <c r="E264" s="136" t="s">
        <v>156</v>
      </c>
      <c r="F264" s="138">
        <v>2</v>
      </c>
      <c r="G264" s="138">
        <v>25.56</v>
      </c>
      <c r="H264" s="138">
        <f t="shared" si="16"/>
        <v>51.12</v>
      </c>
      <c r="I264" s="57"/>
      <c r="J264" s="57"/>
      <c r="K264" s="57"/>
    </row>
    <row r="265" spans="1:11" x14ac:dyDescent="0.2">
      <c r="A265" s="158"/>
      <c r="B265" s="158"/>
      <c r="C265" s="158"/>
      <c r="D265" s="158"/>
      <c r="E265" s="158"/>
      <c r="F265" s="630"/>
      <c r="G265" s="631" t="s">
        <v>13</v>
      </c>
      <c r="H265" s="631">
        <f>SUM(H261:H264)</f>
        <v>3783.5699999999997</v>
      </c>
      <c r="I265" s="57"/>
      <c r="J265" s="57"/>
      <c r="K265" s="57"/>
    </row>
    <row r="266" spans="1:11" x14ac:dyDescent="0.2">
      <c r="A266" s="158"/>
      <c r="B266" s="158"/>
      <c r="C266" s="158"/>
      <c r="D266" s="158"/>
      <c r="E266" s="158"/>
      <c r="F266" s="158"/>
      <c r="G266" s="404"/>
      <c r="H266" s="404"/>
    </row>
    <row r="267" spans="1:11" x14ac:dyDescent="0.2">
      <c r="G267" s="14"/>
      <c r="H267" s="14"/>
    </row>
    <row r="269" spans="1:11" ht="13.5" thickBot="1" x14ac:dyDescent="0.25"/>
    <row r="270" spans="1:11" ht="18.75" thickBot="1" x14ac:dyDescent="0.25">
      <c r="A270" s="678" t="str">
        <f>SERVIÇOS!D188</f>
        <v xml:space="preserve">COMUNICAÇÃO VISUAL E SINALIZAÇÃO </v>
      </c>
      <c r="B270" s="679"/>
      <c r="C270" s="679"/>
      <c r="D270" s="679"/>
      <c r="E270" s="679"/>
      <c r="F270" s="679"/>
      <c r="G270" s="679"/>
      <c r="H270" s="679"/>
    </row>
    <row r="273" spans="1:11" x14ac:dyDescent="0.2">
      <c r="B273" s="158"/>
      <c r="G273" s="177"/>
      <c r="H273" s="177"/>
    </row>
    <row r="275" spans="1:11" ht="24" x14ac:dyDescent="0.2">
      <c r="A275" s="401" t="s">
        <v>164</v>
      </c>
      <c r="B275" s="401" t="s">
        <v>11</v>
      </c>
      <c r="C275" s="401" t="s">
        <v>28</v>
      </c>
      <c r="D275" s="402" t="s">
        <v>262</v>
      </c>
      <c r="E275" s="401" t="s">
        <v>2</v>
      </c>
      <c r="F275" s="401" t="s">
        <v>182</v>
      </c>
      <c r="G275" s="401" t="s">
        <v>162</v>
      </c>
      <c r="H275" s="401" t="s">
        <v>163</v>
      </c>
    </row>
    <row r="276" spans="1:11" ht="48" x14ac:dyDescent="0.2">
      <c r="A276" s="136" t="s">
        <v>165</v>
      </c>
      <c r="B276" s="136" t="s">
        <v>268</v>
      </c>
      <c r="C276" s="136" t="s">
        <v>268</v>
      </c>
      <c r="D276" s="137" t="s">
        <v>262</v>
      </c>
      <c r="E276" s="350" t="s">
        <v>2</v>
      </c>
      <c r="F276" s="166">
        <v>1</v>
      </c>
      <c r="G276" s="166">
        <v>3675</v>
      </c>
      <c r="H276" s="135">
        <f>G276*F276</f>
        <v>3675</v>
      </c>
    </row>
    <row r="277" spans="1:11" ht="27.75" customHeight="1" x14ac:dyDescent="0.2">
      <c r="A277" s="136" t="s">
        <v>165</v>
      </c>
      <c r="B277" s="136" t="s">
        <v>268</v>
      </c>
      <c r="C277" s="136" t="s">
        <v>268</v>
      </c>
      <c r="D277" s="137" t="s">
        <v>263</v>
      </c>
      <c r="E277" s="350" t="s">
        <v>2</v>
      </c>
      <c r="F277" s="166">
        <v>1</v>
      </c>
      <c r="G277" s="166">
        <v>740</v>
      </c>
      <c r="H277" s="135">
        <f>G277*F277</f>
        <v>740</v>
      </c>
    </row>
    <row r="278" spans="1:11" x14ac:dyDescent="0.2">
      <c r="G278" s="351" t="s">
        <v>13</v>
      </c>
      <c r="H278" s="351">
        <f>SUM(H276:H277)</f>
        <v>4415</v>
      </c>
    </row>
    <row r="280" spans="1:11" x14ac:dyDescent="0.2">
      <c r="B280" s="158"/>
      <c r="G280" s="177"/>
      <c r="H280" s="177"/>
    </row>
    <row r="282" spans="1:11" ht="24" x14ac:dyDescent="0.2">
      <c r="A282" s="401" t="s">
        <v>164</v>
      </c>
      <c r="B282" s="401" t="s">
        <v>11</v>
      </c>
      <c r="C282" s="401" t="s">
        <v>28</v>
      </c>
      <c r="D282" s="402" t="s">
        <v>705</v>
      </c>
      <c r="E282" s="401" t="s">
        <v>2</v>
      </c>
      <c r="F282" s="401" t="s">
        <v>182</v>
      </c>
      <c r="G282" s="401" t="s">
        <v>162</v>
      </c>
      <c r="H282" s="401" t="s">
        <v>163</v>
      </c>
    </row>
    <row r="283" spans="1:11" ht="36" x14ac:dyDescent="0.2">
      <c r="A283" s="136" t="s">
        <v>164</v>
      </c>
      <c r="B283" s="136" t="s">
        <v>704</v>
      </c>
      <c r="C283" s="405" t="s">
        <v>707</v>
      </c>
      <c r="D283" s="313" t="str">
        <f>D292</f>
        <v>FORNECIMENTO E INSTALAÇÃO DE SUPORTE METÁLICO GALVANIZADO PARA PLACAS DE SINALIZAÇÃO EM SOLO, COM H= DE 2,5 M E DIÂMETRO DE 1 1/2'. (BASE 103690/SINAPI)</v>
      </c>
      <c r="E283" s="370" t="s">
        <v>2</v>
      </c>
      <c r="F283" s="313">
        <v>1</v>
      </c>
      <c r="G283" s="634">
        <f>H298</f>
        <v>107.479848</v>
      </c>
      <c r="H283" s="138">
        <f>G283*F283</f>
        <v>107.479848</v>
      </c>
      <c r="I283" s="57"/>
      <c r="J283" s="57"/>
      <c r="K283" s="57"/>
    </row>
    <row r="284" spans="1:11" ht="53.25" customHeight="1" x14ac:dyDescent="0.2">
      <c r="A284" s="136" t="s">
        <v>164</v>
      </c>
      <c r="B284" s="136" t="s">
        <v>304</v>
      </c>
      <c r="C284" s="405">
        <v>4251</v>
      </c>
      <c r="D284" s="313" t="s">
        <v>706</v>
      </c>
      <c r="E284" s="370" t="s">
        <v>2</v>
      </c>
      <c r="F284" s="313">
        <v>1</v>
      </c>
      <c r="G284" s="624">
        <v>145</v>
      </c>
      <c r="H284" s="138">
        <f>G284*F284</f>
        <v>145</v>
      </c>
      <c r="I284" s="57"/>
      <c r="J284" s="57"/>
      <c r="K284" s="57"/>
    </row>
    <row r="285" spans="1:11" x14ac:dyDescent="0.2">
      <c r="G285" s="635" t="s">
        <v>13</v>
      </c>
      <c r="H285" s="635">
        <f>SUM(H283:H284)</f>
        <v>252.479848</v>
      </c>
      <c r="I285" s="57"/>
      <c r="J285" s="57"/>
      <c r="K285" s="57"/>
    </row>
    <row r="286" spans="1:11" x14ac:dyDescent="0.2">
      <c r="G286" s="625"/>
      <c r="H286" s="625"/>
      <c r="I286" s="57"/>
      <c r="J286" s="57"/>
      <c r="K286" s="57"/>
    </row>
    <row r="287" spans="1:11" x14ac:dyDescent="0.2">
      <c r="I287" s="57"/>
      <c r="J287" s="57"/>
      <c r="K287" s="57"/>
    </row>
    <row r="288" spans="1:11" x14ac:dyDescent="0.2">
      <c r="I288" s="57"/>
      <c r="J288" s="57"/>
      <c r="K288" s="57"/>
    </row>
    <row r="289" spans="1:11" x14ac:dyDescent="0.2">
      <c r="I289" s="57"/>
      <c r="J289" s="57"/>
      <c r="K289" s="57"/>
    </row>
    <row r="290" spans="1:11" x14ac:dyDescent="0.2">
      <c r="B290" s="158"/>
      <c r="G290" s="625"/>
      <c r="H290" s="625"/>
      <c r="I290" s="57"/>
      <c r="J290" s="57"/>
      <c r="K290" s="57"/>
    </row>
    <row r="291" spans="1:11" x14ac:dyDescent="0.2">
      <c r="I291" s="57"/>
      <c r="J291" s="57"/>
      <c r="K291" s="57"/>
    </row>
    <row r="292" spans="1:11" ht="48" x14ac:dyDescent="0.2">
      <c r="A292" s="401" t="s">
        <v>164</v>
      </c>
      <c r="B292" s="401" t="s">
        <v>11</v>
      </c>
      <c r="C292" s="401" t="s">
        <v>707</v>
      </c>
      <c r="D292" s="402" t="s">
        <v>713</v>
      </c>
      <c r="E292" s="401" t="s">
        <v>2</v>
      </c>
      <c r="F292" s="401" t="s">
        <v>182</v>
      </c>
      <c r="G292" s="401" t="s">
        <v>162</v>
      </c>
      <c r="H292" s="401" t="s">
        <v>163</v>
      </c>
    </row>
    <row r="293" spans="1:11" ht="36" x14ac:dyDescent="0.2">
      <c r="A293" s="136" t="s">
        <v>164</v>
      </c>
      <c r="B293" s="136">
        <v>102486</v>
      </c>
      <c r="C293" s="136">
        <v>102486</v>
      </c>
      <c r="D293" s="313" t="s">
        <v>708</v>
      </c>
      <c r="E293" s="370" t="s">
        <v>159</v>
      </c>
      <c r="F293" s="313">
        <v>2.3699999999999999E-2</v>
      </c>
      <c r="G293" s="634">
        <v>713.97</v>
      </c>
      <c r="H293" s="138">
        <f>G293*F293</f>
        <v>16.921088999999998</v>
      </c>
      <c r="I293" s="57"/>
      <c r="J293" s="57"/>
      <c r="K293" s="57"/>
    </row>
    <row r="294" spans="1:11" ht="36" x14ac:dyDescent="0.2">
      <c r="A294" s="136" t="s">
        <v>164</v>
      </c>
      <c r="B294" s="136">
        <v>100749</v>
      </c>
      <c r="C294" s="136">
        <v>100749</v>
      </c>
      <c r="D294" s="313" t="s">
        <v>710</v>
      </c>
      <c r="E294" s="370" t="s">
        <v>1</v>
      </c>
      <c r="F294" s="313">
        <v>0.4</v>
      </c>
      <c r="G294" s="634">
        <v>28.78</v>
      </c>
      <c r="H294" s="138">
        <f t="shared" ref="H294:H297" si="17">G294*F294</f>
        <v>11.512</v>
      </c>
      <c r="I294" s="57"/>
      <c r="J294" s="57"/>
      <c r="K294" s="57"/>
    </row>
    <row r="295" spans="1:11" x14ac:dyDescent="0.2">
      <c r="A295" s="136" t="s">
        <v>165</v>
      </c>
      <c r="B295" s="136" t="s">
        <v>712</v>
      </c>
      <c r="C295" s="136" t="s">
        <v>712</v>
      </c>
      <c r="D295" s="313" t="s">
        <v>711</v>
      </c>
      <c r="E295" s="370" t="s">
        <v>153</v>
      </c>
      <c r="F295" s="313">
        <v>3.3</v>
      </c>
      <c r="G295" s="634">
        <v>16.93</v>
      </c>
      <c r="H295" s="138">
        <f t="shared" si="17"/>
        <v>55.868999999999993</v>
      </c>
      <c r="I295" s="57"/>
      <c r="J295" s="57"/>
      <c r="K295" s="57"/>
    </row>
    <row r="296" spans="1:11" x14ac:dyDescent="0.2">
      <c r="A296" s="136" t="s">
        <v>164</v>
      </c>
      <c r="B296" s="136">
        <v>88278</v>
      </c>
      <c r="C296" s="136">
        <v>88278</v>
      </c>
      <c r="D296" s="313" t="s">
        <v>709</v>
      </c>
      <c r="E296" s="370" t="s">
        <v>156</v>
      </c>
      <c r="F296" s="313">
        <v>0.21379999999999999</v>
      </c>
      <c r="G296" s="634">
        <v>35.31</v>
      </c>
      <c r="H296" s="138">
        <f t="shared" si="17"/>
        <v>7.5492780000000002</v>
      </c>
      <c r="I296" s="57"/>
      <c r="J296" s="57"/>
      <c r="K296" s="57"/>
    </row>
    <row r="297" spans="1:11" x14ac:dyDescent="0.2">
      <c r="A297" s="136" t="s">
        <v>164</v>
      </c>
      <c r="B297" s="136">
        <v>88316</v>
      </c>
      <c r="C297" s="136">
        <v>88316</v>
      </c>
      <c r="D297" s="313" t="s">
        <v>160</v>
      </c>
      <c r="E297" s="370" t="s">
        <v>156</v>
      </c>
      <c r="F297" s="313">
        <v>0.64129999999999998</v>
      </c>
      <c r="G297" s="634">
        <v>24.37</v>
      </c>
      <c r="H297" s="138">
        <f t="shared" si="17"/>
        <v>15.628481000000001</v>
      </c>
      <c r="I297" s="57"/>
      <c r="J297" s="57"/>
      <c r="K297" s="57"/>
    </row>
    <row r="298" spans="1:11" x14ac:dyDescent="0.2">
      <c r="G298" s="635" t="s">
        <v>13</v>
      </c>
      <c r="H298" s="635">
        <f>SUM(H293:H297)</f>
        <v>107.479848</v>
      </c>
      <c r="I298" s="57"/>
      <c r="J298" s="57"/>
      <c r="K298" s="57"/>
    </row>
    <row r="299" spans="1:11" x14ac:dyDescent="0.2">
      <c r="G299" s="625"/>
      <c r="H299" s="625"/>
      <c r="I299" s="57"/>
      <c r="J299" s="57"/>
      <c r="K299" s="57"/>
    </row>
    <row r="301" spans="1:11" ht="13.5" thickBot="1" x14ac:dyDescent="0.25"/>
    <row r="302" spans="1:11" ht="18.75" thickBot="1" x14ac:dyDescent="0.25">
      <c r="A302" s="678" t="str">
        <f>SERVIÇOS!D215</f>
        <v>SERVIÇOS FINAIS E DESMOBILIZAÇÃO</v>
      </c>
      <c r="B302" s="679"/>
      <c r="C302" s="679"/>
      <c r="D302" s="679"/>
      <c r="E302" s="679"/>
      <c r="F302" s="679"/>
      <c r="G302" s="679"/>
      <c r="H302" s="679"/>
    </row>
    <row r="305" spans="1:11" ht="24" x14ac:dyDescent="0.2">
      <c r="A305" s="401" t="s">
        <v>164</v>
      </c>
      <c r="B305" s="401" t="s">
        <v>11</v>
      </c>
      <c r="C305" s="401" t="s">
        <v>28</v>
      </c>
      <c r="D305" s="402" t="s">
        <v>425</v>
      </c>
      <c r="E305" s="401" t="s">
        <v>1</v>
      </c>
      <c r="F305" s="401" t="s">
        <v>182</v>
      </c>
      <c r="G305" s="401" t="s">
        <v>162</v>
      </c>
      <c r="H305" s="401" t="s">
        <v>163</v>
      </c>
    </row>
    <row r="306" spans="1:11" x14ac:dyDescent="0.2">
      <c r="A306" s="136" t="s">
        <v>164</v>
      </c>
      <c r="B306" s="136" t="s">
        <v>303</v>
      </c>
      <c r="C306" s="405">
        <v>88262</v>
      </c>
      <c r="D306" s="313" t="s">
        <v>204</v>
      </c>
      <c r="E306" s="370" t="s">
        <v>156</v>
      </c>
      <c r="F306" s="313">
        <v>0.08</v>
      </c>
      <c r="G306" s="313">
        <v>33.07</v>
      </c>
      <c r="H306" s="135">
        <f>F306*G306</f>
        <v>2.6456</v>
      </c>
    </row>
    <row r="307" spans="1:11" x14ac:dyDescent="0.2">
      <c r="A307" s="136" t="s">
        <v>164</v>
      </c>
      <c r="B307" s="136" t="s">
        <v>303</v>
      </c>
      <c r="C307" s="405">
        <v>88316</v>
      </c>
      <c r="D307" s="313" t="s">
        <v>160</v>
      </c>
      <c r="E307" s="370" t="s">
        <v>156</v>
      </c>
      <c r="F307" s="313">
        <v>0.8</v>
      </c>
      <c r="G307" s="165">
        <v>24.37</v>
      </c>
      <c r="H307" s="135">
        <f>F307*G307</f>
        <v>19.496000000000002</v>
      </c>
    </row>
    <row r="308" spans="1:11" x14ac:dyDescent="0.2">
      <c r="A308" s="132"/>
      <c r="B308" s="132"/>
      <c r="C308" s="132"/>
      <c r="D308" s="132"/>
      <c r="E308" s="132"/>
      <c r="F308" s="132"/>
      <c r="G308" s="165" t="s">
        <v>13</v>
      </c>
      <c r="H308" s="165">
        <f>SUM(H306:H307)</f>
        <v>22.141600000000004</v>
      </c>
    </row>
    <row r="311" spans="1:11" ht="48" x14ac:dyDescent="0.2">
      <c r="A311" s="401" t="s">
        <v>164</v>
      </c>
      <c r="B311" s="401" t="s">
        <v>11</v>
      </c>
      <c r="C311" s="401" t="s">
        <v>28</v>
      </c>
      <c r="D311" s="402" t="s">
        <v>429</v>
      </c>
      <c r="E311" s="401" t="s">
        <v>2</v>
      </c>
      <c r="F311" s="401" t="s">
        <v>182</v>
      </c>
      <c r="G311" s="401" t="s">
        <v>162</v>
      </c>
      <c r="H311" s="401" t="s">
        <v>163</v>
      </c>
    </row>
    <row r="312" spans="1:11" ht="48" x14ac:dyDescent="0.2">
      <c r="A312" s="136" t="s">
        <v>164</v>
      </c>
      <c r="B312" s="136" t="s">
        <v>303</v>
      </c>
      <c r="C312" s="136">
        <v>5928</v>
      </c>
      <c r="D312" s="137" t="s">
        <v>427</v>
      </c>
      <c r="E312" s="136" t="s">
        <v>428</v>
      </c>
      <c r="F312" s="313">
        <v>2.7290000000000001</v>
      </c>
      <c r="G312" s="135">
        <v>277.06</v>
      </c>
      <c r="H312" s="135">
        <f>G312*F312</f>
        <v>756.09674000000007</v>
      </c>
      <c r="I312" s="57"/>
      <c r="J312" s="57"/>
      <c r="K312" s="57"/>
    </row>
    <row r="313" spans="1:11" x14ac:dyDescent="0.2">
      <c r="A313" s="136" t="s">
        <v>164</v>
      </c>
      <c r="B313" s="136" t="s">
        <v>303</v>
      </c>
      <c r="C313" s="136">
        <v>88316</v>
      </c>
      <c r="D313" s="169" t="s">
        <v>160</v>
      </c>
      <c r="E313" s="138" t="s">
        <v>156</v>
      </c>
      <c r="F313" s="138">
        <v>5.4580000000000002</v>
      </c>
      <c r="G313" s="309">
        <v>24.37</v>
      </c>
      <c r="H313" s="309">
        <f>G313*F313</f>
        <v>133.01146</v>
      </c>
      <c r="I313" s="57"/>
      <c r="J313" s="57"/>
      <c r="K313" s="57"/>
    </row>
    <row r="314" spans="1:11" x14ac:dyDescent="0.2">
      <c r="G314" s="165" t="s">
        <v>13</v>
      </c>
      <c r="H314" s="165">
        <f>SUM(H312:H313)</f>
        <v>889.10820000000012</v>
      </c>
      <c r="I314" s="57"/>
      <c r="J314" s="57"/>
      <c r="K314" s="57"/>
    </row>
    <row r="315" spans="1:11" s="132" customFormat="1" ht="55.5" customHeight="1" x14ac:dyDescent="0.2">
      <c r="A315" s="14"/>
      <c r="B315" s="14"/>
      <c r="C315" s="14"/>
      <c r="D315" s="14"/>
      <c r="E315" s="14"/>
      <c r="F315" s="14"/>
      <c r="G315" s="15"/>
      <c r="H315" s="15"/>
      <c r="I315" s="168"/>
      <c r="J315" s="168"/>
      <c r="K315" s="168"/>
    </row>
    <row r="316" spans="1:11" s="132" customFormat="1" x14ac:dyDescent="0.2">
      <c r="A316" s="14"/>
      <c r="B316" s="14"/>
      <c r="C316" s="14"/>
      <c r="D316" s="14"/>
      <c r="E316" s="14"/>
      <c r="F316" s="14"/>
      <c r="G316" s="15"/>
      <c r="H316" s="15"/>
      <c r="I316" s="168"/>
      <c r="J316" s="168"/>
      <c r="K316" s="168"/>
    </row>
    <row r="317" spans="1:11" s="132" customFormat="1" x14ac:dyDescent="0.2">
      <c r="A317" s="14"/>
      <c r="B317" s="14"/>
      <c r="C317" s="14"/>
      <c r="D317" s="14"/>
      <c r="E317" s="14"/>
      <c r="F317" s="14"/>
      <c r="G317" s="15"/>
      <c r="H317" s="15"/>
      <c r="I317" s="168"/>
      <c r="J317" s="168"/>
      <c r="K317" s="168"/>
    </row>
    <row r="318" spans="1:11" s="132" customFormat="1" x14ac:dyDescent="0.2">
      <c r="A318" s="14"/>
      <c r="B318" s="14"/>
      <c r="C318" s="14"/>
      <c r="D318" s="14"/>
      <c r="E318" s="14"/>
      <c r="F318" s="14"/>
      <c r="G318" s="15"/>
      <c r="H318" s="15"/>
      <c r="I318" s="168"/>
      <c r="J318" s="168"/>
      <c r="K318" s="168"/>
    </row>
    <row r="321" spans="1:11" s="132" customFormat="1" x14ac:dyDescent="0.2">
      <c r="A321" s="14"/>
      <c r="B321" s="14"/>
      <c r="C321" s="14"/>
      <c r="D321" s="14"/>
      <c r="E321" s="14"/>
      <c r="F321" s="14"/>
      <c r="G321" s="15"/>
      <c r="H321" s="15"/>
      <c r="I321" s="168"/>
      <c r="J321" s="168"/>
      <c r="K321" s="168"/>
    </row>
    <row r="322" spans="1:11" s="132" customFormat="1" x14ac:dyDescent="0.2">
      <c r="A322" s="14"/>
      <c r="B322" s="14"/>
      <c r="C322" s="14"/>
      <c r="D322" s="14"/>
      <c r="E322" s="14"/>
      <c r="F322" s="14"/>
      <c r="G322" s="15"/>
      <c r="H322" s="15"/>
      <c r="I322" s="168"/>
      <c r="J322" s="168"/>
      <c r="K322" s="168"/>
    </row>
    <row r="323" spans="1:11" ht="37.5" customHeight="1" x14ac:dyDescent="0.2">
      <c r="I323" s="168"/>
      <c r="J323" s="57"/>
      <c r="K323" s="57"/>
    </row>
    <row r="341" spans="5:8" x14ac:dyDescent="0.2">
      <c r="E341" s="513"/>
      <c r="F341" s="514"/>
      <c r="G341" s="515"/>
      <c r="H341" s="515" cm="1">
        <f t="array" aca="1" ref="H341" ca="1">E340:H341</f>
        <v>0</v>
      </c>
    </row>
  </sheetData>
  <mergeCells count="21">
    <mergeCell ref="A1:E1"/>
    <mergeCell ref="A2:E2"/>
    <mergeCell ref="A3:E3"/>
    <mergeCell ref="E5:F5"/>
    <mergeCell ref="A6:D6"/>
    <mergeCell ref="E6:F6"/>
    <mergeCell ref="A302:H302"/>
    <mergeCell ref="A7:C7"/>
    <mergeCell ref="E7:F7"/>
    <mergeCell ref="G7:H7"/>
    <mergeCell ref="A8:D8"/>
    <mergeCell ref="E8:F8"/>
    <mergeCell ref="G8:H8"/>
    <mergeCell ref="A11:H11"/>
    <mergeCell ref="A31:H31"/>
    <mergeCell ref="A42:H42"/>
    <mergeCell ref="A211:H211"/>
    <mergeCell ref="A57:H57"/>
    <mergeCell ref="A171:H171"/>
    <mergeCell ref="A187:H187"/>
    <mergeCell ref="A270:H270"/>
  </mergeCells>
  <conditionalFormatting sqref="A159:A160 C159:E160">
    <cfRule type="expression" dxfId="76" priority="101" stopIfTrue="1">
      <formula>AND(OR(#REF!="COMPOSICAO",#REF!="INSUMO",#REF!&lt;&gt;""),#REF!&lt;&gt;"")</formula>
    </cfRule>
    <cfRule type="expression" dxfId="75" priority="100" stopIfTrue="1">
      <formula>AND(#REF!&lt;&gt;"COMPOSICAO",#REF!&lt;&gt;"INSUMO",#REF!&lt;&gt;"")</formula>
    </cfRule>
  </conditionalFormatting>
  <conditionalFormatting sqref="A166:A167">
    <cfRule type="expression" dxfId="74" priority="40" stopIfTrue="1">
      <formula>AND(OR(#REF!="COMPOSICAO",#REF!="INSUMO",#REF!&lt;&gt;""),#REF!&lt;&gt;"")</formula>
    </cfRule>
    <cfRule type="expression" dxfId="73" priority="39" stopIfTrue="1">
      <formula>AND(#REF!&lt;&gt;"COMPOSICAO",#REF!&lt;&gt;"INSUMO",#REF!&lt;&gt;"")</formula>
    </cfRule>
  </conditionalFormatting>
  <conditionalFormatting sqref="A175:A176 C175:E176">
    <cfRule type="expression" dxfId="72" priority="102" stopIfTrue="1">
      <formula>AND(#REF!&lt;&gt;"COMPOSICAO",#REF!&lt;&gt;"INSUMO",#REF!&lt;&gt;"")</formula>
    </cfRule>
    <cfRule type="expression" dxfId="71" priority="103" stopIfTrue="1">
      <formula>AND(OR(#REF!="COMPOSICAO",#REF!="INSUMO",#REF!&lt;&gt;""),#REF!&lt;&gt;"")</formula>
    </cfRule>
  </conditionalFormatting>
  <conditionalFormatting sqref="A181:A182 C181:E182">
    <cfRule type="expression" dxfId="70" priority="54" stopIfTrue="1">
      <formula>AND(OR(#REF!="COMPOSICAO",#REF!="INSUMO",#REF!&lt;&gt;""),#REF!&lt;&gt;"")</formula>
    </cfRule>
    <cfRule type="expression" dxfId="69" priority="53" stopIfTrue="1">
      <formula>AND(#REF!&lt;&gt;"COMPOSICAO",#REF!&lt;&gt;"INSUMO",#REF!&lt;&gt;"")</formula>
    </cfRule>
  </conditionalFormatting>
  <conditionalFormatting sqref="A191:A195">
    <cfRule type="expression" dxfId="68" priority="5" stopIfTrue="1">
      <formula>AND(#REF!&lt;&gt;"COMPOSICAO",#REF!&lt;&gt;"INSUMO",#REF!&lt;&gt;"")</formula>
    </cfRule>
    <cfRule type="expression" dxfId="67" priority="6" stopIfTrue="1">
      <formula>AND(OR(#REF!="COMPOSICAO",#REF!="INSUMO",#REF!&lt;&gt;""),#REF!&lt;&gt;"")</formula>
    </cfRule>
  </conditionalFormatting>
  <conditionalFormatting sqref="A201:A206 C202:E206">
    <cfRule type="expression" dxfId="66" priority="23" stopIfTrue="1">
      <formula>AND(#REF!&lt;&gt;"COMPOSICAO",#REF!&lt;&gt;"INSUMO",#REF!&lt;&gt;"")</formula>
    </cfRule>
    <cfRule type="expression" dxfId="65" priority="24" stopIfTrue="1">
      <formula>AND(OR(#REF!="COMPOSICAO",#REF!="INSUMO",#REF!&lt;&gt;""),#REF!&lt;&gt;"")</formula>
    </cfRule>
  </conditionalFormatting>
  <conditionalFormatting sqref="A108:C108 A119:E123 B276:E277 A278:C278">
    <cfRule type="expression" dxfId="64" priority="65" stopIfTrue="1">
      <formula>AND($A108&lt;&gt;"COMPOSICAO",$A108&lt;&gt;"INSUMO",$A108&lt;&gt;"")</formula>
    </cfRule>
    <cfRule type="expression" dxfId="63" priority="66" stopIfTrue="1">
      <formula>AND(OR($A108="COMPOSICAO",$A108="INSUMO",$A108&lt;&gt;""),$A108&lt;&gt;"")</formula>
    </cfRule>
  </conditionalFormatting>
  <conditionalFormatting sqref="A285:C286">
    <cfRule type="expression" dxfId="62" priority="3" stopIfTrue="1">
      <formula>AND($A285&lt;&gt;"COMPOSICAO",$A285&lt;&gt;"INSUMO",$A285&lt;&gt;"")</formula>
    </cfRule>
    <cfRule type="expression" dxfId="61" priority="4" stopIfTrue="1">
      <formula>AND(OR($A285="COMPOSICAO",$A285="INSUMO",$A285&lt;&gt;""),$A285&lt;&gt;"")</formula>
    </cfRule>
  </conditionalFormatting>
  <conditionalFormatting sqref="A298:C299">
    <cfRule type="expression" dxfId="60" priority="2" stopIfTrue="1">
      <formula>AND(OR($A298="COMPOSICAO",$A298="INSUMO",$A298&lt;&gt;""),$A298&lt;&gt;"")</formula>
    </cfRule>
    <cfRule type="expression" dxfId="59" priority="1" stopIfTrue="1">
      <formula>AND($A298&lt;&gt;"COMPOSICAO",$A298&lt;&gt;"INSUMO",$A298&lt;&gt;"")</formula>
    </cfRule>
  </conditionalFormatting>
  <conditionalFormatting sqref="A140:E144">
    <cfRule type="expression" dxfId="58" priority="57" stopIfTrue="1">
      <formula>AND($A140&lt;&gt;"COMPOSICAO",$A140&lt;&gt;"INSUMO",$A140&lt;&gt;"")</formula>
    </cfRule>
    <cfRule type="expression" dxfId="57" priority="57" stopIfTrue="1">
      <formula>AND(OR($A140="COMPOSICAO",$A140="INSUMO",$A140&lt;&gt;""),$A140&lt;&gt;"")</formula>
    </cfRule>
  </conditionalFormatting>
  <conditionalFormatting sqref="B97">
    <cfRule type="expression" dxfId="56" priority="127" stopIfTrue="1">
      <formula>AND(OR(#REF!="COMPOSICAO",#REF!="INSUMO",#REF!&lt;&gt;""),#REF!&lt;&gt;"")</formula>
    </cfRule>
    <cfRule type="expression" dxfId="55" priority="126" stopIfTrue="1">
      <formula>AND(#REF!&lt;&gt;"COMPOSICAO",#REF!&lt;&gt;"INSUMO",#REF!&lt;&gt;"")</formula>
    </cfRule>
  </conditionalFormatting>
  <conditionalFormatting sqref="B61:C61">
    <cfRule type="expression" dxfId="54" priority="59" stopIfTrue="1">
      <formula>AND($A61&lt;&gt;"COMPOSICAO",$A61&lt;&gt;"INSUMO",$A61&lt;&gt;"")</formula>
    </cfRule>
    <cfRule type="expression" dxfId="53" priority="60" stopIfTrue="1">
      <formula>AND(OR($A61="COMPOSICAO",$A61="INSUMO",$A61&lt;&gt;""),$A61&lt;&gt;"")</formula>
    </cfRule>
  </conditionalFormatting>
  <conditionalFormatting sqref="B49:E51">
    <cfRule type="expression" dxfId="52" priority="290" stopIfTrue="1">
      <formula>AND($A49&lt;&gt;"COMPOSICAO",$A49&lt;&gt;"INSUMO",$A49&lt;&gt;"")</formula>
    </cfRule>
    <cfRule type="expression" dxfId="51" priority="291" stopIfTrue="1">
      <formula>AND(OR($A49="COMPOSICAO",$A49="INSUMO",$A49&lt;&gt;""),$A49&lt;&gt;"")</formula>
    </cfRule>
  </conditionalFormatting>
  <conditionalFormatting sqref="B152:E152 A152:A154 C153:E154">
    <cfRule type="expression" dxfId="50" priority="2157" stopIfTrue="1">
      <formula>AND(OR(#REF!="COMPOSICAO",#REF!="INSUMO",#REF!&lt;&gt;""),#REF!&lt;&gt;"")</formula>
    </cfRule>
    <cfRule type="expression" dxfId="49" priority="2156" stopIfTrue="1">
      <formula>AND(#REF!&lt;&gt;"COMPOSICAO",#REF!&lt;&gt;"INSUMO",#REF!&lt;&gt;"")</formula>
    </cfRule>
  </conditionalFormatting>
  <conditionalFormatting sqref="C36:D36 C312:D312 G312 C313:F313">
    <cfRule type="expression" dxfId="48" priority="2159" stopIfTrue="1">
      <formula>AND(OR(#REF!="COMPOSICAO",#REF!="INSUMO",#REF!&lt;&gt;""),#REF!&lt;&gt;"")</formula>
    </cfRule>
    <cfRule type="expression" dxfId="47" priority="2158" stopIfTrue="1">
      <formula>AND(#REF!&lt;&gt;"COMPOSICAO",#REF!&lt;&gt;"INSUMO",#REF!&lt;&gt;"")</formula>
    </cfRule>
  </conditionalFormatting>
  <conditionalFormatting sqref="C52:D53 G53">
    <cfRule type="expression" dxfId="46" priority="2154" stopIfTrue="1">
      <formula>AND(#REF!&lt;&gt;"COMPOSICAO",#REF!&lt;&gt;"INSUMO",#REF!&lt;&gt;"")</formula>
    </cfRule>
    <cfRule type="expression" dxfId="45" priority="2155" stopIfTrue="1">
      <formula>AND(OR(#REF!="COMPOSICAO",#REF!="INSUMO",#REF!&lt;&gt;""),#REF!&lt;&gt;"")</formula>
    </cfRule>
  </conditionalFormatting>
  <conditionalFormatting sqref="C62:D62">
    <cfRule type="expression" dxfId="44" priority="166" stopIfTrue="1">
      <formula>AND($A62&lt;&gt;"COMPOSICAO",$A62&lt;&gt;"INSUMO",$A62&lt;&gt;"")</formula>
    </cfRule>
    <cfRule type="expression" dxfId="43" priority="167" stopIfTrue="1">
      <formula>AND(OR($A62="COMPOSICAO",$A62="INSUMO",$A62&lt;&gt;""),$A62&lt;&gt;"")</formula>
    </cfRule>
  </conditionalFormatting>
  <conditionalFormatting sqref="C105:D105">
    <cfRule type="expression" dxfId="42" priority="123" stopIfTrue="1">
      <formula>AND(OR(#REF!="COMPOSICAO",#REF!="INSUMO",#REF!&lt;&gt;""),#REF!&lt;&gt;"")</formula>
    </cfRule>
    <cfRule type="expression" dxfId="41" priority="122" stopIfTrue="1">
      <formula>AND(#REF!&lt;&gt;"COMPOSICAO",#REF!&lt;&gt;"INSUMO",#REF!&lt;&gt;"")</formula>
    </cfRule>
  </conditionalFormatting>
  <conditionalFormatting sqref="C191:D191">
    <cfRule type="expression" dxfId="40" priority="14" stopIfTrue="1">
      <formula>AND(OR($A191="COMPOSICAO",$A191="INSUMO",$A191&lt;&gt;""),$A191&lt;&gt;"")</formula>
    </cfRule>
    <cfRule type="expression" dxfId="39" priority="13" stopIfTrue="1">
      <formula>AND($A191&lt;&gt;"COMPOSICAO",$A191&lt;&gt;"INSUMO",$A191&lt;&gt;"")</formula>
    </cfRule>
  </conditionalFormatting>
  <conditionalFormatting sqref="C201:D201">
    <cfRule type="expression" dxfId="38" priority="22" stopIfTrue="1">
      <formula>AND(OR($A201="COMPOSICAO",$A201="INSUMO",$A201&lt;&gt;""),$A201&lt;&gt;"")</formula>
    </cfRule>
    <cfRule type="expression" dxfId="37" priority="21" stopIfTrue="1">
      <formula>AND($A201&lt;&gt;"COMPOSICAO",$A201&lt;&gt;"INSUMO",$A201&lt;&gt;"")</formula>
    </cfRule>
  </conditionalFormatting>
  <conditionalFormatting sqref="C13:E15">
    <cfRule type="expression" dxfId="36" priority="1295" stopIfTrue="1">
      <formula>AND(OR($A13="COMPOSICAO",$A13="INSUMO",$A13&lt;&gt;""),$A13&lt;&gt;"")</formula>
    </cfRule>
    <cfRule type="expression" dxfId="35" priority="1294" stopIfTrue="1">
      <formula>AND($A13&lt;&gt;"COMPOSICAO",$A13&lt;&gt;"INSUMO",$A13&lt;&gt;"")</formula>
    </cfRule>
  </conditionalFormatting>
  <conditionalFormatting sqref="C17:E24">
    <cfRule type="expression" dxfId="34" priority="387" stopIfTrue="1">
      <formula>AND(OR($A17="COMPOSICAO",$A17="INSUMO",$A17&lt;&gt;""),$A17&lt;&gt;"")</formula>
    </cfRule>
    <cfRule type="expression" dxfId="33" priority="386" stopIfTrue="1">
      <formula>AND($A17&lt;&gt;"COMPOSICAO",$A17&lt;&gt;"INSUMO",$A17&lt;&gt;"")</formula>
    </cfRule>
  </conditionalFormatting>
  <conditionalFormatting sqref="C48:E48">
    <cfRule type="expression" dxfId="32" priority="295" stopIfTrue="1">
      <formula>AND(OR($A48="COMPOSICAO",$A48="INSUMO",$A48&lt;&gt;""),$A48&lt;&gt;"")</formula>
    </cfRule>
    <cfRule type="expression" dxfId="31" priority="294" stopIfTrue="1">
      <formula>AND($A48&lt;&gt;"COMPOSICAO",$A48&lt;&gt;"INSUMO",$A48&lt;&gt;"")</formula>
    </cfRule>
  </conditionalFormatting>
  <conditionalFormatting sqref="C118:E118">
    <cfRule type="expression" dxfId="30" priority="108" stopIfTrue="1">
      <formula>AND($A118&lt;&gt;"COMPOSICAO",$A118&lt;&gt;"INSUMO",$A118&lt;&gt;"")</formula>
    </cfRule>
    <cfRule type="expression" dxfId="29" priority="109" stopIfTrue="1">
      <formula>AND(OR($A118="COMPOSICAO",$A118="INSUMO",$A118&lt;&gt;""),$A118&lt;&gt;"")</formula>
    </cfRule>
  </conditionalFormatting>
  <conditionalFormatting sqref="C130:E130 A133:E133">
    <cfRule type="expression" dxfId="28" priority="90" stopIfTrue="1">
      <formula>AND(OR($A130="COMPOSICAO",$A130="INSUMO",$A130&lt;&gt;""),$A130&lt;&gt;"")</formula>
    </cfRule>
    <cfRule type="expression" dxfId="27" priority="89" stopIfTrue="1">
      <formula>AND($A130&lt;&gt;"COMPOSICAO",$A130&lt;&gt;"INSUMO",$A130&lt;&gt;"")</formula>
    </cfRule>
  </conditionalFormatting>
  <conditionalFormatting sqref="C139:E139">
    <cfRule type="expression" dxfId="26" priority="2160" stopIfTrue="1">
      <formula>AND($A139&lt;&gt;"COMPOSICAO",$A139&lt;&gt;"INSUMO",$A139&lt;&gt;"")</formula>
    </cfRule>
    <cfRule type="expression" dxfId="25" priority="58" stopIfTrue="1">
      <formula>AND(OR($A139="COMPOSICAO",$A139="INSUMO",$A139&lt;&gt;""),$A139&lt;&gt;"")</formula>
    </cfRule>
  </conditionalFormatting>
  <conditionalFormatting sqref="C166:E167">
    <cfRule type="expression" dxfId="24" priority="47" stopIfTrue="1">
      <formula>AND(#REF!&lt;&gt;"COMPOSICAO",#REF!&lt;&gt;"INSUMO",#REF!&lt;&gt;"")</formula>
    </cfRule>
    <cfRule type="expression" dxfId="23" priority="48" stopIfTrue="1">
      <formula>AND(OR(#REF!="COMPOSICAO",#REF!="INSUMO",#REF!&lt;&gt;""),#REF!&lt;&gt;"")</formula>
    </cfRule>
  </conditionalFormatting>
  <conditionalFormatting sqref="C192:E195">
    <cfRule type="expression" dxfId="22" priority="7" stopIfTrue="1">
      <formula>AND(#REF!&lt;&gt;"COMPOSICAO",#REF!&lt;&gt;"INSUMO",#REF!&lt;&gt;"")</formula>
    </cfRule>
    <cfRule type="expression" dxfId="21" priority="8" stopIfTrue="1">
      <formula>AND(OR(#REF!="COMPOSICAO",#REF!="INSUMO",#REF!&lt;&gt;""),#REF!&lt;&gt;"")</formula>
    </cfRule>
  </conditionalFormatting>
  <conditionalFormatting sqref="C46:F47 B46:B48">
    <cfRule type="expression" dxfId="20" priority="826" stopIfTrue="1">
      <formula>AND($A46&lt;&gt;"COMPOSICAO",$A46&lt;&gt;"INSUMO",$A46&lt;&gt;"")</formula>
    </cfRule>
    <cfRule type="expression" dxfId="19" priority="827" stopIfTrue="1">
      <formula>AND(OR($A46="COMPOSICAO",$A46="INSUMO",$A46&lt;&gt;""),$A46&lt;&gt;"")</formula>
    </cfRule>
  </conditionalFormatting>
  <conditionalFormatting sqref="D61 C63:D64 G64 C69:E72 C97:E100 G98:G100">
    <cfRule type="expression" dxfId="18" priority="2152" stopIfTrue="1">
      <formula>AND(#REF!&lt;&gt;"COMPOSICAO",#REF!&lt;&gt;"INSUMO",#REF!&lt;&gt;"")</formula>
    </cfRule>
    <cfRule type="expression" dxfId="17" priority="2153" stopIfTrue="1">
      <formula>AND(OR(#REF!="COMPOSICAO",#REF!="INSUMO",#REF!&lt;&gt;""),#REF!&lt;&gt;"")</formula>
    </cfRule>
  </conditionalFormatting>
  <conditionalFormatting sqref="D86:D87">
    <cfRule type="expression" dxfId="16" priority="98" stopIfTrue="1">
      <formula>AND(#REF!&lt;&gt;"COMPOSICAO",#REF!&lt;&gt;"INSUMO",#REF!&lt;&gt;"")</formula>
    </cfRule>
    <cfRule type="expression" dxfId="15" priority="99" stopIfTrue="1">
      <formula>AND(OR(#REF!="COMPOSICAO",#REF!="INSUMO",#REF!&lt;&gt;""),#REF!&lt;&gt;"")</formula>
    </cfRule>
  </conditionalFormatting>
  <conditionalFormatting sqref="D92:H92">
    <cfRule type="expression" dxfId="14" priority="95" stopIfTrue="1">
      <formula>AND(#REF!&lt;&gt;"COMPOSICAO",#REF!&lt;&gt;"INSUMO",#REF!&lt;&gt;"")</formula>
    </cfRule>
    <cfRule type="expression" dxfId="13" priority="96" stopIfTrue="1">
      <formula>AND(OR(#REF!="COMPOSICAO",#REF!="INSUMO",#REF!&lt;&gt;""),#REF!&lt;&gt;"")</formula>
    </cfRule>
  </conditionalFormatting>
  <conditionalFormatting sqref="E191">
    <cfRule type="expression" dxfId="12" priority="11" stopIfTrue="1">
      <formula>AND(#REF!&lt;&gt;"COMPOSICAO",#REF!&lt;&gt;"INSUMO",#REF!&lt;&gt;"")</formula>
    </cfRule>
    <cfRule type="expression" dxfId="11" priority="12" stopIfTrue="1">
      <formula>AND(OR(#REF!="COMPOSICAO",#REF!="INSUMO",#REF!&lt;&gt;""),#REF!&lt;&gt;"")</formula>
    </cfRule>
  </conditionalFormatting>
  <conditionalFormatting sqref="E201">
    <cfRule type="expression" dxfId="10" priority="20" stopIfTrue="1">
      <formula>AND(OR(#REF!="COMPOSICAO",#REF!="INSUMO",#REF!&lt;&gt;""),#REF!&lt;&gt;"")</formula>
    </cfRule>
    <cfRule type="expression" dxfId="9" priority="19" stopIfTrue="1">
      <formula>AND(#REF!&lt;&gt;"COMPOSICAO",#REF!&lt;&gt;"INSUMO",#REF!&lt;&gt;"")</formula>
    </cfRule>
  </conditionalFormatting>
  <conditionalFormatting sqref="F48:F53">
    <cfRule type="expression" dxfId="8" priority="289" stopIfTrue="1">
      <formula>AND(OR(#REF!="COMPOSICAO",#REF!="INSUMO",#REF!&lt;&gt;""),#REF!&lt;&gt;"")</formula>
    </cfRule>
    <cfRule type="expression" dxfId="7" priority="288" stopIfTrue="1">
      <formula>AND(#REF!&lt;&gt;"COMPOSICAO",#REF!&lt;&gt;"INSUMO",#REF!&lt;&gt;"")</formula>
    </cfRule>
  </conditionalFormatting>
  <conditionalFormatting sqref="G36">
    <cfRule type="expression" dxfId="6" priority="36" stopIfTrue="1">
      <formula>AND(OR(#REF!="COMPOSICAO",#REF!="INSUMO",#REF!&lt;&gt;""),#REF!&lt;&gt;"")</formula>
    </cfRule>
    <cfRule type="expression" dxfId="5" priority="35" stopIfTrue="1">
      <formula>AND(#REF!&lt;&gt;"COMPOSICAO",#REF!&lt;&gt;"INSUMO",#REF!&lt;&gt;"")</formula>
    </cfRule>
  </conditionalFormatting>
  <conditionalFormatting sqref="G48">
    <cfRule type="expression" dxfId="4" priority="296" stopIfTrue="1">
      <formula>AND($A48&lt;&gt;"COMPOSICAO",$A48&lt;&gt;"INSUMO",$A48&lt;&gt;"")</formula>
    </cfRule>
    <cfRule type="expression" dxfId="3" priority="297" stopIfTrue="1">
      <formula>AND(OR($A48="COMPOSICAO",$A48="INSUMO",$A48&lt;&gt;""),$A48&lt;&gt;"")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45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72"/>
  <sheetViews>
    <sheetView showZeros="0" tabSelected="1" view="pageBreakPreview" zoomScale="70" zoomScaleNormal="60" zoomScaleSheetLayoutView="70" workbookViewId="0">
      <selection activeCell="B24" sqref="B24"/>
    </sheetView>
  </sheetViews>
  <sheetFormatPr defaultColWidth="11.42578125" defaultRowHeight="12.75" x14ac:dyDescent="0.25"/>
  <cols>
    <col min="1" max="1" width="10.85546875" style="113" customWidth="1"/>
    <col min="2" max="2" width="46.85546875" style="66" customWidth="1"/>
    <col min="3" max="3" width="20" style="114" customWidth="1"/>
    <col min="4" max="4" width="12.140625" style="114" customWidth="1"/>
    <col min="5" max="5" width="20.140625" style="115" customWidth="1"/>
    <col min="6" max="6" width="20.140625" style="116" customWidth="1"/>
    <col min="7" max="7" width="11.85546875" style="66" customWidth="1"/>
    <col min="8" max="8" width="20.140625" style="66" customWidth="1"/>
    <col min="9" max="9" width="13.5703125" style="66" customWidth="1"/>
    <col min="10" max="10" width="20.140625" style="66" customWidth="1"/>
    <col min="11" max="11" width="15.28515625" style="66" customWidth="1"/>
    <col min="12" max="12" width="18.85546875" style="66" customWidth="1"/>
    <col min="13" max="13" width="12.28515625" style="66" customWidth="1"/>
    <col min="14" max="14" width="23.28515625" style="66" customWidth="1"/>
    <col min="15" max="15" width="5.7109375" style="66" customWidth="1"/>
    <col min="16" max="16" width="18.28515625" style="67" customWidth="1"/>
    <col min="17" max="17" width="14.7109375" style="67" customWidth="1"/>
    <col min="18" max="18" width="19.140625" style="66" customWidth="1"/>
    <col min="19" max="19" width="14.28515625" style="66" bestFit="1" customWidth="1"/>
    <col min="20" max="16384" width="11.42578125" style="66"/>
  </cols>
  <sheetData>
    <row r="1" spans="1:20" ht="30" customHeight="1" x14ac:dyDescent="0.25">
      <c r="A1" s="721" t="s">
        <v>12</v>
      </c>
      <c r="B1" s="722"/>
      <c r="C1" s="722"/>
      <c r="D1" s="722"/>
      <c r="E1" s="722"/>
      <c r="F1" s="30"/>
      <c r="G1" s="31"/>
      <c r="H1" s="32"/>
      <c r="I1" s="32"/>
      <c r="J1" s="32"/>
      <c r="K1" s="32"/>
      <c r="L1" s="32"/>
      <c r="M1" s="32"/>
      <c r="N1" s="33"/>
      <c r="O1" s="34"/>
    </row>
    <row r="2" spans="1:20" ht="25.5" customHeight="1" x14ac:dyDescent="0.25">
      <c r="A2" s="730" t="s">
        <v>140</v>
      </c>
      <c r="B2" s="731"/>
      <c r="C2" s="731"/>
      <c r="D2" s="731"/>
      <c r="E2" s="731"/>
      <c r="F2" s="36"/>
      <c r="G2" s="37"/>
      <c r="H2" s="34"/>
      <c r="I2" s="34"/>
      <c r="J2" s="34"/>
      <c r="K2" s="34"/>
      <c r="L2" s="34"/>
      <c r="M2" s="34"/>
      <c r="N2" s="38"/>
      <c r="O2" s="35"/>
      <c r="P2" s="66"/>
      <c r="Q2" s="66"/>
    </row>
    <row r="3" spans="1:20" ht="23.25" customHeight="1" x14ac:dyDescent="0.25">
      <c r="A3" s="725" t="str">
        <f>SERVIÇOS!A3</f>
        <v>NÚCLEO DE ORÇAMENTO E PLANEJAMENTO</v>
      </c>
      <c r="B3" s="726"/>
      <c r="C3" s="726"/>
      <c r="D3" s="726"/>
      <c r="E3" s="726"/>
      <c r="F3" s="36"/>
      <c r="G3" s="37"/>
      <c r="H3" s="34"/>
      <c r="I3" s="34"/>
      <c r="J3" s="34"/>
      <c r="K3" s="34"/>
      <c r="L3" s="34"/>
      <c r="M3" s="34"/>
      <c r="N3" s="38"/>
      <c r="O3" s="34"/>
    </row>
    <row r="4" spans="1:20" ht="20.25" x14ac:dyDescent="0.25">
      <c r="A4" s="55" t="s">
        <v>6</v>
      </c>
      <c r="B4" s="1"/>
      <c r="C4" s="2"/>
      <c r="D4" s="50"/>
      <c r="E4" s="56" t="s">
        <v>8</v>
      </c>
      <c r="F4" s="36"/>
      <c r="G4" s="37"/>
      <c r="H4" s="34"/>
      <c r="I4" s="34"/>
      <c r="J4" s="34"/>
      <c r="K4" s="34"/>
      <c r="L4" s="34"/>
      <c r="M4" s="34"/>
      <c r="N4" s="38"/>
      <c r="O4" s="34"/>
    </row>
    <row r="5" spans="1:20" s="68" customFormat="1" ht="40.15" customHeight="1" x14ac:dyDescent="0.2">
      <c r="A5" s="723" t="str">
        <f>SERVIÇOS!A5</f>
        <v>Conclusão da obra da FÁRMACIA UNIVERSITÁRIA.</v>
      </c>
      <c r="B5" s="724"/>
      <c r="C5" s="724"/>
      <c r="D5" s="724"/>
      <c r="E5" s="734" t="str">
        <f>SERVIÇOS!E5</f>
        <v>JULHO/2025</v>
      </c>
      <c r="F5" s="734"/>
      <c r="G5" s="396"/>
      <c r="H5" s="397"/>
      <c r="I5" s="397"/>
      <c r="J5" s="39"/>
      <c r="K5" s="39"/>
      <c r="L5" s="39"/>
      <c r="M5" s="39"/>
      <c r="N5" s="40"/>
      <c r="O5" s="39"/>
      <c r="P5" s="326"/>
      <c r="Q5" s="326"/>
      <c r="R5" s="39"/>
      <c r="S5" s="39"/>
      <c r="T5" s="39"/>
    </row>
    <row r="6" spans="1:20" ht="21" customHeight="1" x14ac:dyDescent="0.3">
      <c r="A6" s="728" t="s">
        <v>7</v>
      </c>
      <c r="B6" s="729"/>
      <c r="C6" s="2"/>
      <c r="D6" s="42"/>
      <c r="E6" s="56" t="s">
        <v>16</v>
      </c>
      <c r="F6" s="36"/>
      <c r="G6" s="702" t="s">
        <v>17</v>
      </c>
      <c r="H6" s="702"/>
      <c r="I6" s="34"/>
      <c r="J6" s="702" t="s">
        <v>18</v>
      </c>
      <c r="K6" s="702"/>
      <c r="L6" s="339"/>
      <c r="M6" s="702" t="s">
        <v>227</v>
      </c>
      <c r="N6" s="703"/>
      <c r="O6" s="316"/>
      <c r="P6" s="35"/>
      <c r="Q6" s="35"/>
      <c r="R6" s="34"/>
      <c r="S6" s="34"/>
      <c r="T6" s="34"/>
    </row>
    <row r="7" spans="1:20" ht="21" thickBot="1" x14ac:dyDescent="0.35">
      <c r="A7" s="41" t="str">
        <f>SERVIÇOS!A7</f>
        <v>Campus Universitário de Ondina - Salvador - Bahia</v>
      </c>
      <c r="B7" s="69"/>
      <c r="C7" s="70"/>
      <c r="D7" s="71"/>
      <c r="E7" s="704">
        <f>SERVIÇOS!E7</f>
        <v>274.14999999999998</v>
      </c>
      <c r="F7" s="704"/>
      <c r="G7" s="704">
        <f>SERVIÇOS!H222</f>
        <v>676349.55773491994</v>
      </c>
      <c r="H7" s="704"/>
      <c r="I7" s="319"/>
      <c r="J7" s="704">
        <f>G7/E7</f>
        <v>2467.0784524345067</v>
      </c>
      <c r="K7" s="704"/>
      <c r="L7" s="340"/>
      <c r="M7" s="700">
        <f>SERVIÇOS!$F$14</f>
        <v>4</v>
      </c>
      <c r="N7" s="701"/>
      <c r="O7" s="341"/>
      <c r="P7" s="34"/>
      <c r="Q7" s="34"/>
      <c r="R7" s="34"/>
      <c r="S7" s="34"/>
      <c r="T7" s="34"/>
    </row>
    <row r="8" spans="1:20" ht="20.25" customHeight="1" thickBot="1" x14ac:dyDescent="0.35">
      <c r="A8" s="706" t="s">
        <v>19</v>
      </c>
      <c r="B8" s="707"/>
      <c r="C8" s="707"/>
      <c r="D8" s="707"/>
      <c r="E8" s="707"/>
      <c r="F8" s="707"/>
      <c r="G8" s="707"/>
      <c r="H8" s="707"/>
      <c r="I8" s="707"/>
      <c r="J8" s="707"/>
      <c r="K8" s="707"/>
      <c r="L8" s="707"/>
      <c r="M8" s="707"/>
      <c r="N8" s="708"/>
      <c r="O8" s="72"/>
      <c r="P8" s="318">
        <f>SERVIÇOS!G221</f>
        <v>0.25</v>
      </c>
      <c r="Q8" s="35"/>
      <c r="R8" s="34"/>
      <c r="S8" s="34"/>
      <c r="T8" s="34"/>
    </row>
    <row r="9" spans="1:20" ht="14.1" customHeight="1" x14ac:dyDescent="0.3">
      <c r="A9" s="711" t="s">
        <v>20</v>
      </c>
      <c r="B9" s="713" t="s">
        <v>21</v>
      </c>
      <c r="C9" s="715" t="s">
        <v>22</v>
      </c>
      <c r="D9" s="717" t="s">
        <v>0</v>
      </c>
      <c r="E9" s="715" t="s">
        <v>150</v>
      </c>
      <c r="F9" s="719" t="s">
        <v>151</v>
      </c>
      <c r="G9" s="709" t="s">
        <v>23</v>
      </c>
      <c r="H9" s="709"/>
      <c r="I9" s="709" t="s">
        <v>24</v>
      </c>
      <c r="J9" s="709"/>
      <c r="K9" s="709" t="s">
        <v>217</v>
      </c>
      <c r="L9" s="709"/>
      <c r="M9" s="709" t="s">
        <v>218</v>
      </c>
      <c r="N9" s="710"/>
      <c r="O9" s="72"/>
      <c r="P9" s="318">
        <v>0.16</v>
      </c>
      <c r="Q9" s="35"/>
      <c r="R9" s="34"/>
      <c r="S9" s="34"/>
      <c r="T9" s="34"/>
    </row>
    <row r="10" spans="1:20" ht="14.1" customHeight="1" thickBot="1" x14ac:dyDescent="0.3">
      <c r="A10" s="712"/>
      <c r="B10" s="714"/>
      <c r="C10" s="716"/>
      <c r="D10" s="718"/>
      <c r="E10" s="716"/>
      <c r="F10" s="720"/>
      <c r="G10" s="485" t="s">
        <v>0</v>
      </c>
      <c r="H10" s="485" t="s">
        <v>25</v>
      </c>
      <c r="I10" s="485" t="s">
        <v>0</v>
      </c>
      <c r="J10" s="485" t="s">
        <v>25</v>
      </c>
      <c r="K10" s="485" t="s">
        <v>0</v>
      </c>
      <c r="L10" s="485" t="s">
        <v>25</v>
      </c>
      <c r="M10" s="485" t="s">
        <v>0</v>
      </c>
      <c r="N10" s="486" t="s">
        <v>25</v>
      </c>
      <c r="O10" s="72"/>
      <c r="P10" s="328"/>
      <c r="Q10" s="35"/>
      <c r="R10" s="34"/>
      <c r="S10" s="34"/>
      <c r="T10" s="34"/>
    </row>
    <row r="11" spans="1:20" s="78" customFormat="1" ht="25.5" customHeight="1" x14ac:dyDescent="0.3">
      <c r="A11" s="454">
        <f>SERVIÇOS!A10</f>
        <v>1</v>
      </c>
      <c r="B11" s="455" t="str">
        <f>SERVIÇOS!D10</f>
        <v>MOBILIZAÇÃO E SERVIÇOS PRELIMINARES</v>
      </c>
      <c r="C11" s="456">
        <f>SERVIÇOS!H10</f>
        <v>2075.6950000000002</v>
      </c>
      <c r="D11" s="457">
        <f>F11/$G$7</f>
        <v>3.8362097236957207E-3</v>
      </c>
      <c r="E11" s="458">
        <f t="shared" ref="E11:E25" si="0">C11*$P$8</f>
        <v>518.92375000000004</v>
      </c>
      <c r="F11" s="458">
        <f t="shared" ref="F11:F25" si="1">E11+C11</f>
        <v>2594.6187500000001</v>
      </c>
      <c r="G11" s="570">
        <v>1</v>
      </c>
      <c r="H11" s="459">
        <f t="shared" ref="H11:H12" si="2">G11*F11</f>
        <v>2594.6187500000001</v>
      </c>
      <c r="I11" s="570"/>
      <c r="J11" s="571">
        <f>F11*I11</f>
        <v>0</v>
      </c>
      <c r="K11" s="570"/>
      <c r="L11" s="459">
        <f>F11*K11</f>
        <v>0</v>
      </c>
      <c r="M11" s="572"/>
      <c r="N11" s="573">
        <f t="shared" ref="N11:N25" si="3">F11*M11</f>
        <v>0</v>
      </c>
      <c r="O11" s="73"/>
      <c r="P11" s="329">
        <f>G11+I11+K11+M11</f>
        <v>1</v>
      </c>
      <c r="Q11" s="330">
        <v>30</v>
      </c>
      <c r="R11" s="331">
        <f>H34</f>
        <v>240360.77023194774</v>
      </c>
      <c r="S11" s="332">
        <f>G35</f>
        <v>0.35537950381295563</v>
      </c>
      <c r="T11" s="333"/>
    </row>
    <row r="12" spans="1:20" s="78" customFormat="1" ht="25.5" customHeight="1" x14ac:dyDescent="0.3">
      <c r="A12" s="454">
        <f>SERVIÇOS!A16</f>
        <v>3</v>
      </c>
      <c r="B12" s="455" t="str">
        <f>SERVIÇOS!D16</f>
        <v>LOCAÇÕES</v>
      </c>
      <c r="C12" s="456">
        <f>SERVIÇOS!H16</f>
        <v>7033.3382000000001</v>
      </c>
      <c r="D12" s="457">
        <f>F12/$G$7</f>
        <v>1.2998711464295359E-2</v>
      </c>
      <c r="E12" s="458">
        <f t="shared" si="0"/>
        <v>1758.33455</v>
      </c>
      <c r="F12" s="458">
        <f t="shared" si="1"/>
        <v>8791.6727499999997</v>
      </c>
      <c r="G12" s="570">
        <v>0.3</v>
      </c>
      <c r="H12" s="459">
        <f t="shared" si="2"/>
        <v>2637.5018249999998</v>
      </c>
      <c r="I12" s="570">
        <v>0.3</v>
      </c>
      <c r="J12" s="571">
        <f>F12*I12</f>
        <v>2637.5018249999998</v>
      </c>
      <c r="K12" s="570">
        <v>0.25</v>
      </c>
      <c r="L12" s="459">
        <f>F12*K12</f>
        <v>2197.9181874999999</v>
      </c>
      <c r="M12" s="572">
        <v>0.15</v>
      </c>
      <c r="N12" s="573">
        <f t="shared" si="3"/>
        <v>1318.7509124999999</v>
      </c>
      <c r="O12" s="73"/>
      <c r="P12" s="329">
        <f>G12+I12+K12+M12</f>
        <v>1</v>
      </c>
      <c r="Q12" s="330">
        <f>Q11+30</f>
        <v>60</v>
      </c>
      <c r="R12" s="331">
        <f>J34</f>
        <v>153532.86933044792</v>
      </c>
      <c r="S12" s="332">
        <f>I35</f>
        <v>0.58238175076440812</v>
      </c>
      <c r="T12" s="333"/>
    </row>
    <row r="13" spans="1:20" s="78" customFormat="1" ht="15" x14ac:dyDescent="0.3">
      <c r="A13" s="317">
        <f>SERVIÇOS!A21</f>
        <v>4</v>
      </c>
      <c r="B13" s="567" t="str">
        <f>SERVIÇOS!D21</f>
        <v>DEMOLIÇÕES</v>
      </c>
      <c r="C13" s="568">
        <f>SERVIÇOS!H21</f>
        <v>3745.0163397500005</v>
      </c>
      <c r="D13" s="569">
        <f>F13/$G$7</f>
        <v>6.9213772244709889E-3</v>
      </c>
      <c r="E13" s="458">
        <f t="shared" si="0"/>
        <v>936.25408493750012</v>
      </c>
      <c r="F13" s="458">
        <f t="shared" si="1"/>
        <v>4681.270424687501</v>
      </c>
      <c r="G13" s="574">
        <v>1</v>
      </c>
      <c r="H13" s="575">
        <f t="shared" ref="H13:H25" si="4">G13*F13</f>
        <v>4681.270424687501</v>
      </c>
      <c r="I13" s="574"/>
      <c r="J13" s="576">
        <f t="shared" ref="J13:J25" si="5">F13*I13</f>
        <v>0</v>
      </c>
      <c r="K13" s="574"/>
      <c r="L13" s="575">
        <f t="shared" ref="L13:L25" si="6">F13*K13</f>
        <v>0</v>
      </c>
      <c r="M13" s="577"/>
      <c r="N13" s="578">
        <f t="shared" si="3"/>
        <v>0</v>
      </c>
      <c r="O13" s="73"/>
      <c r="P13" s="329">
        <f t="shared" ref="P13:P26" si="7">G13+I13+K13+M13</f>
        <v>1</v>
      </c>
      <c r="Q13" s="330">
        <f>Q12+30</f>
        <v>90</v>
      </c>
      <c r="R13" s="331">
        <f>L34</f>
        <v>177081.0713082483</v>
      </c>
      <c r="S13" s="332">
        <f>K35</f>
        <v>0.8442006124507957</v>
      </c>
      <c r="T13" s="333"/>
    </row>
    <row r="14" spans="1:20" s="78" customFormat="1" ht="18" customHeight="1" x14ac:dyDescent="0.3">
      <c r="A14" s="317">
        <f>SERVIÇOS!A27</f>
        <v>5</v>
      </c>
      <c r="B14" s="567" t="str">
        <f>SERVIÇOS!D27</f>
        <v>FECHAMENTOS</v>
      </c>
      <c r="C14" s="568">
        <f>SERVIÇOS!H27</f>
        <v>46265.388147432619</v>
      </c>
      <c r="D14" s="569">
        <f t="shared" ref="D14:D18" si="8">F14/$G$7</f>
        <v>8.5505689362713577E-2</v>
      </c>
      <c r="E14" s="458">
        <f t="shared" si="0"/>
        <v>11566.347036858155</v>
      </c>
      <c r="F14" s="458">
        <f t="shared" si="1"/>
        <v>57831.735184290774</v>
      </c>
      <c r="G14" s="574">
        <v>1</v>
      </c>
      <c r="H14" s="575">
        <f t="shared" si="4"/>
        <v>57831.735184290774</v>
      </c>
      <c r="I14" s="574"/>
      <c r="J14" s="576">
        <f>I14* F14</f>
        <v>0</v>
      </c>
      <c r="K14" s="574"/>
      <c r="L14" s="575">
        <f>K14*F14</f>
        <v>0</v>
      </c>
      <c r="M14" s="577"/>
      <c r="N14" s="578">
        <f t="shared" si="3"/>
        <v>0</v>
      </c>
      <c r="O14" s="73"/>
      <c r="P14" s="329">
        <f t="shared" si="7"/>
        <v>1</v>
      </c>
      <c r="Q14" s="330">
        <f>Q13+30</f>
        <v>120</v>
      </c>
      <c r="R14" s="331">
        <f>N34</f>
        <v>105374.84686427588</v>
      </c>
      <c r="S14" s="332">
        <f>M35</f>
        <v>1.0000000000000002</v>
      </c>
      <c r="T14" s="333"/>
    </row>
    <row r="15" spans="1:20" s="78" customFormat="1" ht="18" customHeight="1" x14ac:dyDescent="0.3">
      <c r="A15" s="317">
        <f>SERVIÇOS!A35</f>
        <v>6</v>
      </c>
      <c r="B15" s="567" t="str">
        <f>SERVIÇOS!D35</f>
        <v>PAVIMENTAÇÃO</v>
      </c>
      <c r="C15" s="568">
        <f>SERVIÇOS!H35</f>
        <v>42539.682800000002</v>
      </c>
      <c r="D15" s="569">
        <f t="shared" si="8"/>
        <v>7.8620001879029247E-2</v>
      </c>
      <c r="E15" s="458">
        <f t="shared" si="0"/>
        <v>10634.920700000001</v>
      </c>
      <c r="F15" s="458">
        <f t="shared" si="1"/>
        <v>53174.603500000005</v>
      </c>
      <c r="G15" s="574">
        <v>0.15</v>
      </c>
      <c r="H15" s="575">
        <f t="shared" si="4"/>
        <v>7976.190525</v>
      </c>
      <c r="I15" s="574">
        <v>0.45</v>
      </c>
      <c r="J15" s="576">
        <f t="shared" si="5"/>
        <v>23928.571575000002</v>
      </c>
      <c r="K15" s="574">
        <v>0.2</v>
      </c>
      <c r="L15" s="575">
        <f t="shared" si="6"/>
        <v>10634.920700000002</v>
      </c>
      <c r="M15" s="577">
        <v>0.2</v>
      </c>
      <c r="N15" s="578">
        <f t="shared" si="3"/>
        <v>10634.920700000002</v>
      </c>
      <c r="O15" s="73"/>
      <c r="P15" s="329">
        <f t="shared" si="7"/>
        <v>1</v>
      </c>
      <c r="Q15" s="330"/>
      <c r="R15" s="331"/>
      <c r="S15" s="332"/>
      <c r="T15" s="333"/>
    </row>
    <row r="16" spans="1:20" s="78" customFormat="1" ht="18" customHeight="1" x14ac:dyDescent="0.3">
      <c r="A16" s="317">
        <f>SERVIÇOS!A47</f>
        <v>7</v>
      </c>
      <c r="B16" s="567" t="str">
        <f>SERVIÇOS!D47</f>
        <v xml:space="preserve">MOBILIÁRIO </v>
      </c>
      <c r="C16" s="568">
        <f>SERVIÇOS!H47</f>
        <v>73783.600000000006</v>
      </c>
      <c r="D16" s="569">
        <f t="shared" si="8"/>
        <v>0.13636365832613923</v>
      </c>
      <c r="E16" s="458">
        <f t="shared" si="0"/>
        <v>18445.900000000001</v>
      </c>
      <c r="F16" s="458">
        <f t="shared" si="1"/>
        <v>92229.5</v>
      </c>
      <c r="G16" s="574">
        <v>1</v>
      </c>
      <c r="H16" s="575">
        <f t="shared" si="4"/>
        <v>92229.5</v>
      </c>
      <c r="I16" s="574"/>
      <c r="J16" s="576">
        <f t="shared" si="5"/>
        <v>0</v>
      </c>
      <c r="K16" s="574"/>
      <c r="L16" s="575">
        <f t="shared" si="6"/>
        <v>0</v>
      </c>
      <c r="M16" s="577"/>
      <c r="N16" s="578">
        <f t="shared" si="3"/>
        <v>0</v>
      </c>
      <c r="O16" s="73"/>
      <c r="P16" s="329">
        <f t="shared" si="7"/>
        <v>1</v>
      </c>
      <c r="T16" s="333"/>
    </row>
    <row r="17" spans="1:20" s="78" customFormat="1" ht="15" x14ac:dyDescent="0.3">
      <c r="A17" s="317">
        <f>SERVIÇOS!A51</f>
        <v>8</v>
      </c>
      <c r="B17" s="567" t="str">
        <f>SERVIÇOS!D51</f>
        <v>PINTURA</v>
      </c>
      <c r="C17" s="568">
        <f>SERVIÇOS!H51</f>
        <v>41114.014504000013</v>
      </c>
      <c r="D17" s="569">
        <f t="shared" si="8"/>
        <v>7.5985143395543062E-2</v>
      </c>
      <c r="E17" s="458">
        <f t="shared" si="0"/>
        <v>10278.503626000003</v>
      </c>
      <c r="F17" s="458">
        <f t="shared" si="1"/>
        <v>51392.518130000019</v>
      </c>
      <c r="G17" s="574"/>
      <c r="H17" s="575">
        <f t="shared" si="4"/>
        <v>0</v>
      </c>
      <c r="I17" s="574">
        <v>0.15</v>
      </c>
      <c r="J17" s="576">
        <f t="shared" si="5"/>
        <v>7708.8777195000021</v>
      </c>
      <c r="K17" s="574">
        <v>0.4</v>
      </c>
      <c r="L17" s="575">
        <f t="shared" si="6"/>
        <v>20557.00725200001</v>
      </c>
      <c r="M17" s="577">
        <v>0.45</v>
      </c>
      <c r="N17" s="578">
        <f t="shared" si="3"/>
        <v>23126.633158500008</v>
      </c>
      <c r="O17" s="73"/>
      <c r="P17" s="329">
        <f t="shared" si="7"/>
        <v>1</v>
      </c>
      <c r="Q17" s="330"/>
      <c r="R17" s="331"/>
      <c r="S17" s="332"/>
      <c r="T17" s="333"/>
    </row>
    <row r="18" spans="1:20" s="78" customFormat="1" ht="18" customHeight="1" x14ac:dyDescent="0.3">
      <c r="A18" s="317">
        <f>SERVIÇOS!A59</f>
        <v>9</v>
      </c>
      <c r="B18" s="567" t="str">
        <f>SERVIÇOS!D59</f>
        <v>ESQUADRIAS</v>
      </c>
      <c r="C18" s="568">
        <f>SERVIÇOS!H59</f>
        <v>100688.93798325321</v>
      </c>
      <c r="D18" s="569">
        <f t="shared" si="8"/>
        <v>0.18608894031153486</v>
      </c>
      <c r="E18" s="458">
        <f t="shared" si="0"/>
        <v>25172.234495813304</v>
      </c>
      <c r="F18" s="458">
        <f t="shared" si="1"/>
        <v>125861.17247906652</v>
      </c>
      <c r="G18" s="574">
        <v>0.15</v>
      </c>
      <c r="H18" s="575">
        <f t="shared" si="4"/>
        <v>18879.175871859978</v>
      </c>
      <c r="I18" s="574">
        <v>0.35</v>
      </c>
      <c r="J18" s="576">
        <f t="shared" si="5"/>
        <v>44051.410367673278</v>
      </c>
      <c r="K18" s="574">
        <v>0.35</v>
      </c>
      <c r="L18" s="575">
        <f t="shared" si="6"/>
        <v>44051.410367673278</v>
      </c>
      <c r="M18" s="577">
        <v>0.15</v>
      </c>
      <c r="N18" s="578">
        <f t="shared" si="3"/>
        <v>18879.175871859978</v>
      </c>
      <c r="O18" s="73"/>
      <c r="P18" s="329">
        <f t="shared" si="7"/>
        <v>1</v>
      </c>
      <c r="Q18" s="330"/>
      <c r="R18" s="331"/>
      <c r="S18" s="332"/>
      <c r="T18" s="333"/>
    </row>
    <row r="19" spans="1:20" s="78" customFormat="1" ht="18" customHeight="1" x14ac:dyDescent="0.3">
      <c r="A19" s="317">
        <f>SERVIÇOS!A133</f>
        <v>10</v>
      </c>
      <c r="B19" s="567" t="str">
        <f>SERVIÇOS!D133</f>
        <v>LOUÇAS E METAIS</v>
      </c>
      <c r="C19" s="568">
        <f>SERVIÇOS!H133</f>
        <v>13062.02665</v>
      </c>
      <c r="D19" s="569">
        <f>F19/$G$7</f>
        <v>2.4140672712466251E-2</v>
      </c>
      <c r="E19" s="458">
        <f t="shared" si="0"/>
        <v>3265.5066624999999</v>
      </c>
      <c r="F19" s="458">
        <f t="shared" si="1"/>
        <v>16327.5333125</v>
      </c>
      <c r="G19" s="574"/>
      <c r="H19" s="575">
        <f t="shared" si="4"/>
        <v>0</v>
      </c>
      <c r="I19" s="574">
        <v>0.2</v>
      </c>
      <c r="J19" s="576">
        <f t="shared" si="5"/>
        <v>3265.5066624999999</v>
      </c>
      <c r="K19" s="574">
        <v>0.4</v>
      </c>
      <c r="L19" s="575">
        <f t="shared" si="6"/>
        <v>6531.0133249999999</v>
      </c>
      <c r="M19" s="577">
        <v>0.4</v>
      </c>
      <c r="N19" s="578">
        <f t="shared" si="3"/>
        <v>6531.0133249999999</v>
      </c>
      <c r="O19" s="73"/>
      <c r="P19" s="329">
        <f t="shared" si="7"/>
        <v>1</v>
      </c>
      <c r="Q19" s="330"/>
      <c r="R19" s="331"/>
      <c r="S19" s="332"/>
      <c r="T19" s="333"/>
    </row>
    <row r="20" spans="1:20" s="78" customFormat="1" ht="18" customHeight="1" x14ac:dyDescent="0.3">
      <c r="A20" s="317">
        <f>SERVIÇOS!A153</f>
        <v>11</v>
      </c>
      <c r="B20" s="567" t="str">
        <f>SERVIÇOS!D153</f>
        <v>INSTALAÇÕES ELÉTRICAS</v>
      </c>
      <c r="C20" s="568">
        <f>SERVIÇOS!H153</f>
        <v>68889.705215499998</v>
      </c>
      <c r="D20" s="569">
        <f t="shared" ref="D20:D22" si="9">F20/$G$7</f>
        <v>0.12731897364990177</v>
      </c>
      <c r="E20" s="458">
        <f t="shared" si="0"/>
        <v>17222.426303875</v>
      </c>
      <c r="F20" s="458">
        <f t="shared" si="1"/>
        <v>86112.131519374991</v>
      </c>
      <c r="G20" s="574">
        <v>0.15</v>
      </c>
      <c r="H20" s="575">
        <f t="shared" si="4"/>
        <v>12916.819727906248</v>
      </c>
      <c r="I20" s="574">
        <v>0.35</v>
      </c>
      <c r="J20" s="576">
        <f t="shared" si="5"/>
        <v>30139.246031781244</v>
      </c>
      <c r="K20" s="574">
        <v>0.4</v>
      </c>
      <c r="L20" s="575">
        <f t="shared" si="6"/>
        <v>34444.852607749999</v>
      </c>
      <c r="M20" s="577">
        <v>0.1</v>
      </c>
      <c r="N20" s="578">
        <f t="shared" si="3"/>
        <v>8611.2131519374998</v>
      </c>
      <c r="O20" s="73"/>
      <c r="P20" s="329">
        <f t="shared" si="7"/>
        <v>1</v>
      </c>
      <c r="Q20" s="330"/>
      <c r="R20" s="331"/>
      <c r="S20" s="332"/>
      <c r="T20" s="333"/>
    </row>
    <row r="21" spans="1:20" s="78" customFormat="1" ht="18" customHeight="1" x14ac:dyDescent="0.3">
      <c r="A21" s="317">
        <f>SERVIÇOS!A185</f>
        <v>12</v>
      </c>
      <c r="B21" s="567" t="str">
        <f>SERVIÇOS!D185</f>
        <v>BANCADAS</v>
      </c>
      <c r="C21" s="568">
        <f>SERVIÇOS!H185</f>
        <v>1545.8794</v>
      </c>
      <c r="D21" s="569">
        <f t="shared" si="9"/>
        <v>2.8570274466821503E-3</v>
      </c>
      <c r="E21" s="458">
        <f t="shared" si="0"/>
        <v>386.46985000000001</v>
      </c>
      <c r="F21" s="458">
        <f t="shared" si="1"/>
        <v>1932.34925</v>
      </c>
      <c r="G21" s="574"/>
      <c r="H21" s="575">
        <f t="shared" si="4"/>
        <v>0</v>
      </c>
      <c r="I21" s="574">
        <v>0.7</v>
      </c>
      <c r="J21" s="576">
        <f t="shared" si="5"/>
        <v>1352.6444749999998</v>
      </c>
      <c r="K21" s="574">
        <v>0.3</v>
      </c>
      <c r="L21" s="575">
        <f t="shared" si="6"/>
        <v>579.70477499999993</v>
      </c>
      <c r="M21" s="577"/>
      <c r="N21" s="578">
        <f t="shared" si="3"/>
        <v>0</v>
      </c>
      <c r="O21" s="73"/>
      <c r="P21" s="329">
        <f t="shared" si="7"/>
        <v>1</v>
      </c>
      <c r="Q21" s="330"/>
      <c r="R21" s="331"/>
      <c r="S21" s="332"/>
      <c r="T21" s="333"/>
    </row>
    <row r="22" spans="1:20" s="78" customFormat="1" ht="18" customHeight="1" x14ac:dyDescent="0.3">
      <c r="A22" s="317">
        <f>SERVIÇOS!A188</f>
        <v>13</v>
      </c>
      <c r="B22" s="567" t="str">
        <f>SERVIÇOS!D188</f>
        <v xml:space="preserve">COMUNICAÇÃO VISUAL E SINALIZAÇÃO </v>
      </c>
      <c r="C22" s="568">
        <f>SERVIÇOS!H188</f>
        <v>6352.1775480000006</v>
      </c>
      <c r="D22" s="569">
        <f t="shared" si="9"/>
        <v>1.1739819807957932E-2</v>
      </c>
      <c r="E22" s="458">
        <f t="shared" si="0"/>
        <v>1588.0443870000001</v>
      </c>
      <c r="F22" s="458">
        <f t="shared" si="1"/>
        <v>7940.2219350000005</v>
      </c>
      <c r="G22" s="574"/>
      <c r="H22" s="575">
        <f t="shared" si="4"/>
        <v>0</v>
      </c>
      <c r="I22" s="574"/>
      <c r="J22" s="576">
        <f t="shared" si="5"/>
        <v>0</v>
      </c>
      <c r="K22" s="574">
        <v>1</v>
      </c>
      <c r="L22" s="575">
        <f t="shared" si="6"/>
        <v>7940.2219350000005</v>
      </c>
      <c r="M22" s="577"/>
      <c r="N22" s="578">
        <f t="shared" si="3"/>
        <v>0</v>
      </c>
      <c r="O22" s="73"/>
      <c r="P22" s="329">
        <f t="shared" si="7"/>
        <v>1</v>
      </c>
      <c r="Q22" s="330"/>
      <c r="R22" s="331"/>
      <c r="S22" s="332"/>
      <c r="T22" s="333"/>
    </row>
    <row r="23" spans="1:20" s="78" customFormat="1" ht="15" x14ac:dyDescent="0.3">
      <c r="A23" s="317">
        <f>SERVIÇOS!A195</f>
        <v>14</v>
      </c>
      <c r="B23" s="567" t="str">
        <f>SERVIÇOS!D195</f>
        <v>CLIMATIZAÇÃO</v>
      </c>
      <c r="C23" s="568">
        <f>SERVIÇOS!H195</f>
        <v>51730.725500000008</v>
      </c>
      <c r="D23" s="569">
        <f>F23/$G$7</f>
        <v>9.5606489477950363E-2</v>
      </c>
      <c r="E23" s="458">
        <f t="shared" si="0"/>
        <v>12932.681375000002</v>
      </c>
      <c r="F23" s="458">
        <f t="shared" si="1"/>
        <v>64663.406875000008</v>
      </c>
      <c r="G23" s="574"/>
      <c r="H23" s="575">
        <f t="shared" si="4"/>
        <v>0</v>
      </c>
      <c r="I23" s="574">
        <v>0.3</v>
      </c>
      <c r="J23" s="576">
        <f t="shared" si="5"/>
        <v>19399.0220625</v>
      </c>
      <c r="K23" s="574">
        <v>0.4</v>
      </c>
      <c r="L23" s="575">
        <f t="shared" si="6"/>
        <v>25865.362750000004</v>
      </c>
      <c r="M23" s="577">
        <v>0.3</v>
      </c>
      <c r="N23" s="578">
        <f t="shared" si="3"/>
        <v>19399.0220625</v>
      </c>
      <c r="O23" s="73"/>
      <c r="P23" s="329">
        <f t="shared" si="7"/>
        <v>1</v>
      </c>
      <c r="Q23" s="330"/>
      <c r="R23" s="331"/>
      <c r="S23" s="332"/>
      <c r="T23" s="333"/>
    </row>
    <row r="24" spans="1:20" s="78" customFormat="1" ht="15" x14ac:dyDescent="0.3">
      <c r="A24" s="317">
        <f>SERVIÇOS!A213</f>
        <v>15</v>
      </c>
      <c r="B24" s="567" t="str">
        <f>SERVIÇOS!D213</f>
        <v>CABEAMENTO ESTRUTURADO</v>
      </c>
      <c r="C24" s="568">
        <f>SERVIÇOS!H213</f>
        <v>6127.48</v>
      </c>
      <c r="D24" s="569">
        <f>F24/$G$7</f>
        <v>1.1324543518075176E-2</v>
      </c>
      <c r="E24" s="458">
        <f t="shared" si="0"/>
        <v>1531.87</v>
      </c>
      <c r="F24" s="458">
        <f t="shared" si="1"/>
        <v>7659.3499999999995</v>
      </c>
      <c r="G24" s="574">
        <v>1</v>
      </c>
      <c r="H24" s="575">
        <f t="shared" si="4"/>
        <v>7659.3499999999995</v>
      </c>
      <c r="I24" s="574"/>
      <c r="J24" s="576">
        <f t="shared" si="5"/>
        <v>0</v>
      </c>
      <c r="K24" s="574"/>
      <c r="L24" s="575">
        <f t="shared" si="6"/>
        <v>0</v>
      </c>
      <c r="M24" s="577"/>
      <c r="N24" s="578">
        <f t="shared" si="3"/>
        <v>0</v>
      </c>
      <c r="O24" s="73"/>
      <c r="P24" s="329">
        <f t="shared" si="7"/>
        <v>1</v>
      </c>
      <c r="Q24" s="330"/>
      <c r="R24" s="331"/>
      <c r="S24" s="332"/>
      <c r="T24" s="333"/>
    </row>
    <row r="25" spans="1:20" s="78" customFormat="1" ht="15.75" thickBot="1" x14ac:dyDescent="0.35">
      <c r="A25" s="317">
        <f>SERVIÇOS!A215</f>
        <v>16</v>
      </c>
      <c r="B25" s="567" t="str">
        <f>SERVIÇOS!D215</f>
        <v>SERVIÇOS FINAIS E DESMOBILIZAÇÃO</v>
      </c>
      <c r="C25" s="568">
        <f>SERVIÇOS!H215</f>
        <v>1941.3789000000002</v>
      </c>
      <c r="D25" s="569">
        <f>F25/$G$7</f>
        <v>3.5879725169438198E-3</v>
      </c>
      <c r="E25" s="458">
        <f t="shared" si="0"/>
        <v>485.34472500000004</v>
      </c>
      <c r="F25" s="458">
        <f t="shared" si="1"/>
        <v>2426.7236250000001</v>
      </c>
      <c r="G25" s="574"/>
      <c r="H25" s="575">
        <f t="shared" si="4"/>
        <v>0</v>
      </c>
      <c r="I25" s="574"/>
      <c r="J25" s="576">
        <f t="shared" si="5"/>
        <v>0</v>
      </c>
      <c r="K25" s="574"/>
      <c r="L25" s="575">
        <f t="shared" si="6"/>
        <v>0</v>
      </c>
      <c r="M25" s="577">
        <v>1</v>
      </c>
      <c r="N25" s="578">
        <f t="shared" si="3"/>
        <v>2426.7236250000001</v>
      </c>
      <c r="O25" s="73"/>
      <c r="P25" s="329">
        <f t="shared" si="7"/>
        <v>1</v>
      </c>
      <c r="Q25" s="330"/>
      <c r="R25" s="331"/>
      <c r="S25" s="332"/>
      <c r="T25" s="333"/>
    </row>
    <row r="26" spans="1:20" s="78" customFormat="1" ht="18" customHeight="1" thickBot="1" x14ac:dyDescent="0.35">
      <c r="A26" s="487"/>
      <c r="B26" s="488" t="s">
        <v>136</v>
      </c>
      <c r="C26" s="489">
        <f>SUM(C11:C25)</f>
        <v>466895.0461879358</v>
      </c>
      <c r="D26" s="490">
        <f>SUM(D11:D25)</f>
        <v>0.86289523081739949</v>
      </c>
      <c r="E26" s="489">
        <f>SUM(E11:E25)</f>
        <v>116723.76154698395</v>
      </c>
      <c r="F26" s="489">
        <f>SUM(F11:F25)</f>
        <v>583618.80773491971</v>
      </c>
      <c r="G26" s="491">
        <f>H26/F26</f>
        <v>0.35537950381295563</v>
      </c>
      <c r="H26" s="492">
        <f>SUM(H11:H25)</f>
        <v>207406.1623087445</v>
      </c>
      <c r="I26" s="491">
        <f>J26/F26</f>
        <v>0.22700224695145249</v>
      </c>
      <c r="J26" s="492">
        <f>SUM(J11:J25)</f>
        <v>132482.78071895451</v>
      </c>
      <c r="K26" s="491">
        <f>L26/F26</f>
        <v>0.26181886168638752</v>
      </c>
      <c r="L26" s="492">
        <f>SUM(L11:L25)</f>
        <v>152802.41189992332</v>
      </c>
      <c r="M26" s="491">
        <f>N26/F26</f>
        <v>0.15579938754920458</v>
      </c>
      <c r="N26" s="493">
        <f>SUM(N11:N25)</f>
        <v>90927.452807297479</v>
      </c>
      <c r="O26" s="73"/>
      <c r="P26" s="329">
        <f t="shared" si="7"/>
        <v>1.0000000000000002</v>
      </c>
      <c r="Q26" s="330"/>
      <c r="R26" s="331" t="s">
        <v>375</v>
      </c>
      <c r="S26" s="332"/>
      <c r="T26" s="333"/>
    </row>
    <row r="27" spans="1:20" s="78" customFormat="1" ht="18" customHeight="1" thickBot="1" x14ac:dyDescent="0.35">
      <c r="A27" s="460"/>
      <c r="B27" s="461"/>
      <c r="C27" s="462"/>
      <c r="D27" s="184"/>
      <c r="E27" s="462"/>
      <c r="F27" s="462"/>
      <c r="G27" s="463"/>
      <c r="H27" s="464"/>
      <c r="I27" s="463"/>
      <c r="J27" s="465"/>
      <c r="K27" s="463"/>
      <c r="L27" s="464"/>
      <c r="M27" s="466"/>
      <c r="N27" s="467"/>
      <c r="O27" s="73"/>
      <c r="P27" s="329"/>
      <c r="Q27" s="330"/>
      <c r="R27" s="331"/>
      <c r="S27" s="332"/>
      <c r="T27" s="333"/>
    </row>
    <row r="28" spans="1:20" ht="14.1" customHeight="1" x14ac:dyDescent="0.25">
      <c r="A28" s="711" t="s">
        <v>20</v>
      </c>
      <c r="B28" s="713" t="s">
        <v>21</v>
      </c>
      <c r="C28" s="715" t="s">
        <v>22</v>
      </c>
      <c r="D28" s="717" t="s">
        <v>0</v>
      </c>
      <c r="E28" s="715" t="s">
        <v>150</v>
      </c>
      <c r="F28" s="719" t="s">
        <v>151</v>
      </c>
      <c r="G28" s="709" t="s">
        <v>23</v>
      </c>
      <c r="H28" s="709"/>
      <c r="I28" s="709" t="s">
        <v>24</v>
      </c>
      <c r="J28" s="709"/>
      <c r="K28" s="709" t="s">
        <v>217</v>
      </c>
      <c r="L28" s="709"/>
      <c r="M28" s="709" t="s">
        <v>218</v>
      </c>
      <c r="N28" s="710"/>
      <c r="O28" s="72"/>
      <c r="P28" s="327"/>
      <c r="Q28" s="35"/>
      <c r="R28" s="34"/>
      <c r="S28" s="34"/>
      <c r="T28" s="34"/>
    </row>
    <row r="29" spans="1:20" ht="14.1" customHeight="1" thickBot="1" x14ac:dyDescent="0.3">
      <c r="A29" s="712"/>
      <c r="B29" s="714"/>
      <c r="C29" s="716"/>
      <c r="D29" s="718"/>
      <c r="E29" s="716"/>
      <c r="F29" s="720"/>
      <c r="G29" s="485" t="s">
        <v>0</v>
      </c>
      <c r="H29" s="485" t="s">
        <v>25</v>
      </c>
      <c r="I29" s="485" t="s">
        <v>0</v>
      </c>
      <c r="J29" s="485" t="s">
        <v>25</v>
      </c>
      <c r="K29" s="485" t="s">
        <v>0</v>
      </c>
      <c r="L29" s="485" t="s">
        <v>25</v>
      </c>
      <c r="M29" s="485" t="s">
        <v>0</v>
      </c>
      <c r="N29" s="486" t="s">
        <v>25</v>
      </c>
      <c r="O29" s="72"/>
      <c r="P29" s="328"/>
      <c r="Q29" s="35"/>
      <c r="R29" s="34"/>
      <c r="S29" s="34"/>
      <c r="T29" s="34"/>
    </row>
    <row r="30" spans="1:20" s="78" customFormat="1" ht="15" customHeight="1" x14ac:dyDescent="0.3">
      <c r="A30" s="454">
        <f>SERVIÇOS!A13</f>
        <v>2</v>
      </c>
      <c r="B30" s="455" t="str">
        <f>SERVIÇOS!D13</f>
        <v xml:space="preserve">ADMINISTRAÇÃO LOCAL </v>
      </c>
      <c r="C30" s="456">
        <f>SERVIÇOS!H13</f>
        <v>74184.600000000006</v>
      </c>
      <c r="D30" s="457">
        <f>F30/$G$7</f>
        <v>0.13710476918260031</v>
      </c>
      <c r="E30" s="458">
        <f>C30*$P$8</f>
        <v>18546.150000000001</v>
      </c>
      <c r="F30" s="458">
        <f>E30+C30</f>
        <v>92730.75</v>
      </c>
      <c r="G30" s="468">
        <f>G26</f>
        <v>0.35537950381295563</v>
      </c>
      <c r="H30" s="459">
        <f>G30*$F$30</f>
        <v>32954.607923203235</v>
      </c>
      <c r="I30" s="468">
        <f>I26</f>
        <v>0.22700224695145249</v>
      </c>
      <c r="J30" s="459">
        <f>I30*$F$30</f>
        <v>21050.088611493404</v>
      </c>
      <c r="K30" s="468">
        <f>K26</f>
        <v>0.26181886168638752</v>
      </c>
      <c r="L30" s="459">
        <f>K30*$F$30</f>
        <v>24278.65940832498</v>
      </c>
      <c r="M30" s="468">
        <f>M26</f>
        <v>0.15579938754920458</v>
      </c>
      <c r="N30" s="459">
        <f>M30*$F$30</f>
        <v>14447.394056978403</v>
      </c>
      <c r="O30" s="73"/>
      <c r="P30" s="329">
        <f>M26+K26+I26+G26</f>
        <v>1.0000000000000002</v>
      </c>
      <c r="Q30" s="330"/>
      <c r="R30" s="331"/>
      <c r="S30" s="332"/>
      <c r="T30" s="333"/>
    </row>
    <row r="31" spans="1:20" s="78" customFormat="1" ht="15" customHeight="1" thickBot="1" x14ac:dyDescent="0.35">
      <c r="A31" s="447"/>
      <c r="B31" s="448"/>
      <c r="C31" s="453"/>
      <c r="D31" s="449"/>
      <c r="E31" s="450"/>
      <c r="F31" s="450"/>
      <c r="G31" s="451"/>
      <c r="H31" s="452"/>
      <c r="I31" s="451"/>
      <c r="J31" s="452"/>
      <c r="K31" s="451"/>
      <c r="L31" s="452"/>
      <c r="M31" s="451"/>
      <c r="N31" s="452"/>
      <c r="O31" s="73"/>
      <c r="P31" s="329"/>
      <c r="Q31" s="330"/>
      <c r="R31" s="331"/>
      <c r="S31" s="332"/>
      <c r="T31" s="333"/>
    </row>
    <row r="32" spans="1:20" s="80" customFormat="1" ht="18" customHeight="1" thickBot="1" x14ac:dyDescent="0.45">
      <c r="A32" s="494"/>
      <c r="B32" s="488" t="s">
        <v>137</v>
      </c>
      <c r="C32" s="489">
        <f>C30</f>
        <v>74184.600000000006</v>
      </c>
      <c r="D32" s="490">
        <f>D30</f>
        <v>0.13710476918260031</v>
      </c>
      <c r="E32" s="489">
        <f>E30</f>
        <v>18546.150000000001</v>
      </c>
      <c r="F32" s="489">
        <f>E32+C32</f>
        <v>92730.75</v>
      </c>
      <c r="G32" s="491">
        <f>H32/$F$26</f>
        <v>5.6465979996606366E-2</v>
      </c>
      <c r="H32" s="492">
        <f>H30</f>
        <v>32954.607923203235</v>
      </c>
      <c r="I32" s="491">
        <f>J32/$F$26</f>
        <v>3.6068214958991478E-2</v>
      </c>
      <c r="J32" s="492">
        <f>J30</f>
        <v>21050.088611493404</v>
      </c>
      <c r="K32" s="491">
        <f>L32/$F$26</f>
        <v>4.1600200484547052E-2</v>
      </c>
      <c r="L32" s="492">
        <f>L30</f>
        <v>24278.65940832498</v>
      </c>
      <c r="M32" s="491">
        <f>N32/$F$26</f>
        <v>2.475484659764499E-2</v>
      </c>
      <c r="N32" s="493">
        <f>N30</f>
        <v>14447.394056978403</v>
      </c>
      <c r="O32" s="79"/>
      <c r="P32" s="334"/>
      <c r="Q32" s="335"/>
      <c r="R32" s="336"/>
      <c r="S32" s="337"/>
      <c r="T32" s="338"/>
    </row>
    <row r="33" spans="1:20" s="78" customFormat="1" ht="30" customHeight="1" thickBot="1" x14ac:dyDescent="0.35">
      <c r="A33" s="469"/>
      <c r="B33" s="470"/>
      <c r="C33" s="471"/>
      <c r="D33" s="472"/>
      <c r="E33" s="473"/>
      <c r="F33" s="473"/>
      <c r="G33" s="474"/>
      <c r="H33" s="475"/>
      <c r="I33" s="474"/>
      <c r="J33" s="475"/>
      <c r="K33" s="474"/>
      <c r="L33" s="475"/>
      <c r="M33" s="474"/>
      <c r="N33" s="475"/>
      <c r="O33" s="73"/>
      <c r="P33" s="74"/>
      <c r="Q33" s="75"/>
      <c r="R33" s="76"/>
      <c r="S33" s="77"/>
    </row>
    <row r="34" spans="1:20" s="81" customFormat="1" ht="20.25" thickBot="1" x14ac:dyDescent="0.4">
      <c r="A34" s="495"/>
      <c r="B34" s="496" t="s">
        <v>26</v>
      </c>
      <c r="C34" s="489">
        <f>C32+C26</f>
        <v>541079.64618793584</v>
      </c>
      <c r="D34" s="491">
        <f>D26+D32</f>
        <v>0.99999999999999978</v>
      </c>
      <c r="E34" s="497">
        <f>E32+E26</f>
        <v>135269.91154698396</v>
      </c>
      <c r="F34" s="497">
        <f>F32+F26</f>
        <v>676349.55773491971</v>
      </c>
      <c r="G34" s="498">
        <f>H34/$F$34</f>
        <v>0.35537950381295563</v>
      </c>
      <c r="H34" s="499">
        <f>H32+H26</f>
        <v>240360.77023194774</v>
      </c>
      <c r="I34" s="498">
        <f>J34/$F$34</f>
        <v>0.22700224695145249</v>
      </c>
      <c r="J34" s="499">
        <f>J32+J26</f>
        <v>153532.86933044792</v>
      </c>
      <c r="K34" s="498">
        <f>L34/$F$34</f>
        <v>0.26181886168638752</v>
      </c>
      <c r="L34" s="499">
        <f>L32+L26</f>
        <v>177081.0713082483</v>
      </c>
      <c r="M34" s="498">
        <f>N34/$F$34</f>
        <v>0.15579938754920458</v>
      </c>
      <c r="N34" s="500">
        <f>N32+N26</f>
        <v>105374.84686427588</v>
      </c>
      <c r="O34" s="73"/>
      <c r="P34" s="636"/>
      <c r="Q34" s="330"/>
      <c r="R34" s="331"/>
      <c r="S34" s="332"/>
      <c r="T34" s="637"/>
    </row>
    <row r="35" spans="1:20" s="78" customFormat="1" ht="24.95" customHeight="1" thickBot="1" x14ac:dyDescent="0.4">
      <c r="A35" s="476"/>
      <c r="B35" s="477" t="s">
        <v>27</v>
      </c>
      <c r="C35" s="478"/>
      <c r="D35" s="478"/>
      <c r="E35" s="479"/>
      <c r="F35" s="480"/>
      <c r="G35" s="481">
        <f>G34</f>
        <v>0.35537950381295563</v>
      </c>
      <c r="H35" s="482">
        <f>H34</f>
        <v>240360.77023194774</v>
      </c>
      <c r="I35" s="481">
        <f t="shared" ref="I35:N35" si="10">G35+I34</f>
        <v>0.58238175076440812</v>
      </c>
      <c r="J35" s="483">
        <f t="shared" si="10"/>
        <v>393893.63956239563</v>
      </c>
      <c r="K35" s="481">
        <f t="shared" si="10"/>
        <v>0.8442006124507957</v>
      </c>
      <c r="L35" s="482">
        <f t="shared" si="10"/>
        <v>570974.71087064396</v>
      </c>
      <c r="M35" s="484">
        <f t="shared" si="10"/>
        <v>1.0000000000000002</v>
      </c>
      <c r="N35" s="501">
        <f t="shared" si="10"/>
        <v>676349.55773491983</v>
      </c>
      <c r="O35" s="82"/>
      <c r="P35" s="638">
        <f>G7-N35</f>
        <v>0</v>
      </c>
      <c r="Q35" s="639">
        <f>SERVIÇOS!H222</f>
        <v>676349.55773491994</v>
      </c>
      <c r="R35" s="331">
        <f>N35-Q35</f>
        <v>0</v>
      </c>
      <c r="S35" s="332"/>
      <c r="T35" s="333"/>
    </row>
    <row r="36" spans="1:20" s="78" customFormat="1" ht="15" x14ac:dyDescent="0.3">
      <c r="A36" s="83"/>
      <c r="B36" s="84"/>
      <c r="C36" s="85"/>
      <c r="D36" s="85"/>
      <c r="E36" s="86"/>
      <c r="F36" s="87"/>
      <c r="G36" s="84"/>
      <c r="H36" s="88"/>
      <c r="I36" s="88"/>
      <c r="J36" s="88"/>
      <c r="K36" s="88"/>
      <c r="L36" s="88"/>
      <c r="M36" s="88"/>
      <c r="N36" s="89"/>
      <c r="P36" s="640"/>
      <c r="Q36" s="330"/>
      <c r="R36" s="331"/>
      <c r="S36" s="332"/>
      <c r="T36" s="333"/>
    </row>
    <row r="37" spans="1:20" ht="13.5" x14ac:dyDescent="0.25">
      <c r="A37" s="83"/>
      <c r="B37" s="84"/>
      <c r="C37" s="85"/>
      <c r="D37" s="85"/>
      <c r="E37" s="86"/>
      <c r="F37" s="87"/>
      <c r="G37" s="84"/>
      <c r="H37" s="84"/>
      <c r="I37" s="84"/>
      <c r="J37" s="84"/>
      <c r="K37" s="84"/>
      <c r="L37" s="84"/>
      <c r="M37" s="84"/>
      <c r="N37" s="90"/>
      <c r="P37" s="35"/>
      <c r="Q37" s="35"/>
      <c r="R37" s="34"/>
      <c r="S37" s="34"/>
      <c r="T37" s="34"/>
    </row>
    <row r="38" spans="1:20" ht="13.5" x14ac:dyDescent="0.25">
      <c r="A38" s="83"/>
      <c r="B38" s="84"/>
      <c r="C38" s="85"/>
      <c r="D38" s="85"/>
      <c r="E38" s="86"/>
      <c r="F38" s="87"/>
      <c r="G38" s="84"/>
      <c r="H38" s="84"/>
      <c r="I38" s="84"/>
      <c r="J38" s="84"/>
      <c r="K38" s="84"/>
      <c r="L38" s="84"/>
      <c r="M38" s="84"/>
      <c r="N38" s="90"/>
      <c r="P38" s="35"/>
      <c r="Q38" s="35"/>
      <c r="R38" s="34"/>
      <c r="S38" s="34"/>
      <c r="T38" s="34"/>
    </row>
    <row r="39" spans="1:20" ht="18" x14ac:dyDescent="0.25">
      <c r="A39" s="83"/>
      <c r="B39" s="84"/>
      <c r="C39" s="85"/>
      <c r="D39" s="85"/>
      <c r="E39" s="86"/>
      <c r="F39" s="87"/>
      <c r="G39" s="84"/>
      <c r="H39" s="91"/>
      <c r="I39" s="91"/>
      <c r="J39" s="91"/>
      <c r="K39" s="91"/>
      <c r="L39" s="91"/>
      <c r="M39" s="91"/>
      <c r="N39" s="92"/>
      <c r="P39" s="641"/>
      <c r="Q39" s="35"/>
      <c r="R39" s="34"/>
      <c r="S39" s="34"/>
      <c r="T39" s="34"/>
    </row>
    <row r="40" spans="1:20" ht="18" x14ac:dyDescent="0.25">
      <c r="A40" s="83"/>
      <c r="B40" s="84"/>
      <c r="C40" s="85"/>
      <c r="D40" s="85"/>
      <c r="E40" s="86"/>
      <c r="F40" s="87"/>
      <c r="G40" s="84"/>
      <c r="H40" s="91"/>
      <c r="I40" s="91"/>
      <c r="J40" s="91"/>
      <c r="K40" s="91"/>
      <c r="L40" s="91"/>
      <c r="M40" s="91"/>
      <c r="N40" s="92"/>
      <c r="P40" s="586"/>
      <c r="Q40" s="35"/>
      <c r="R40" s="34"/>
      <c r="S40" s="34"/>
      <c r="T40" s="34"/>
    </row>
    <row r="41" spans="1:20" ht="18" x14ac:dyDescent="0.25">
      <c r="A41" s="83"/>
      <c r="B41" s="84"/>
      <c r="C41" s="85"/>
      <c r="D41" s="85"/>
      <c r="E41" s="86"/>
      <c r="F41" s="87"/>
      <c r="G41" s="84"/>
      <c r="H41" s="91"/>
      <c r="I41" s="91"/>
      <c r="J41" s="91"/>
      <c r="K41" s="91"/>
      <c r="L41" s="91"/>
      <c r="M41" s="91"/>
      <c r="N41" s="92"/>
      <c r="P41" s="586"/>
      <c r="Q41" s="35"/>
      <c r="R41" s="34"/>
      <c r="S41" s="34"/>
      <c r="T41" s="34"/>
    </row>
    <row r="42" spans="1:20" ht="13.5" x14ac:dyDescent="0.25">
      <c r="A42" s="83"/>
      <c r="B42" s="84"/>
      <c r="C42" s="85"/>
      <c r="D42" s="85"/>
      <c r="E42" s="86"/>
      <c r="F42" s="87"/>
      <c r="G42" s="84"/>
      <c r="H42" s="91"/>
      <c r="I42" s="91"/>
      <c r="J42" s="91"/>
      <c r="K42" s="91"/>
      <c r="L42" s="91"/>
      <c r="M42" s="91"/>
      <c r="N42" s="92"/>
    </row>
    <row r="43" spans="1:20" ht="13.5" x14ac:dyDescent="0.25">
      <c r="A43" s="83"/>
      <c r="B43" s="84"/>
      <c r="C43" s="85"/>
      <c r="D43" s="85"/>
      <c r="E43" s="86"/>
      <c r="F43" s="93"/>
      <c r="G43" s="84"/>
      <c r="H43" s="91"/>
      <c r="I43" s="91"/>
      <c r="J43" s="95"/>
      <c r="K43" s="91"/>
      <c r="L43" s="95"/>
      <c r="M43" s="91"/>
      <c r="N43" s="94"/>
    </row>
    <row r="44" spans="1:20" ht="13.5" x14ac:dyDescent="0.25">
      <c r="A44" s="83"/>
      <c r="B44" s="84"/>
      <c r="C44" s="85"/>
      <c r="D44" s="85"/>
      <c r="E44" s="86"/>
      <c r="F44" s="87"/>
      <c r="G44" s="84"/>
      <c r="H44" s="95"/>
      <c r="I44" s="91"/>
      <c r="J44" s="91"/>
      <c r="K44" s="91"/>
      <c r="L44" s="91"/>
      <c r="M44" s="91"/>
      <c r="N44" s="92"/>
    </row>
    <row r="45" spans="1:20" ht="13.5" x14ac:dyDescent="0.25">
      <c r="A45" s="83"/>
      <c r="B45" s="84"/>
      <c r="C45" s="85"/>
      <c r="D45" s="85"/>
      <c r="E45" s="86"/>
      <c r="F45" s="87"/>
      <c r="G45" s="84"/>
      <c r="H45" s="84"/>
      <c r="I45" s="84"/>
      <c r="J45" s="84"/>
      <c r="K45" s="84"/>
      <c r="L45" s="84"/>
      <c r="M45" s="84"/>
      <c r="N45" s="90"/>
    </row>
    <row r="46" spans="1:20" ht="13.5" x14ac:dyDescent="0.25">
      <c r="A46" s="83"/>
      <c r="B46" s="84"/>
      <c r="C46" s="85"/>
      <c r="D46" s="85"/>
      <c r="E46" s="86"/>
      <c r="F46" s="87"/>
      <c r="G46" s="84"/>
      <c r="H46" s="84"/>
      <c r="I46" s="84"/>
      <c r="J46" s="84"/>
      <c r="K46" s="84"/>
      <c r="L46" s="84"/>
      <c r="M46" s="84"/>
      <c r="N46" s="90"/>
    </row>
    <row r="47" spans="1:20" ht="13.5" x14ac:dyDescent="0.25">
      <c r="A47" s="83"/>
      <c r="B47" s="84"/>
      <c r="C47" s="85"/>
      <c r="D47" s="85"/>
      <c r="E47" s="86"/>
      <c r="F47" s="87"/>
      <c r="G47" s="84"/>
      <c r="H47" s="84"/>
      <c r="I47" s="84"/>
      <c r="J47" s="84"/>
      <c r="K47" s="84"/>
      <c r="L47" s="84"/>
      <c r="M47" s="84"/>
      <c r="N47" s="90"/>
    </row>
    <row r="48" spans="1:20" ht="13.5" x14ac:dyDescent="0.25">
      <c r="A48" s="83"/>
      <c r="B48" s="84"/>
      <c r="C48" s="85"/>
      <c r="D48" s="85"/>
      <c r="E48" s="86"/>
      <c r="F48" s="87"/>
      <c r="G48" s="84"/>
      <c r="H48" s="84"/>
      <c r="I48" s="84"/>
      <c r="J48" s="84"/>
      <c r="K48" s="84"/>
      <c r="L48" s="84"/>
      <c r="M48" s="84"/>
      <c r="N48" s="90"/>
    </row>
    <row r="49" spans="1:17" ht="13.5" x14ac:dyDescent="0.25">
      <c r="A49" s="83"/>
      <c r="B49" s="84"/>
      <c r="C49" s="85"/>
      <c r="D49" s="85"/>
      <c r="E49" s="86"/>
      <c r="F49" s="87"/>
      <c r="G49" s="84"/>
      <c r="H49" s="84"/>
      <c r="I49" s="84"/>
      <c r="J49" s="84"/>
      <c r="K49" s="84"/>
      <c r="L49" s="84"/>
      <c r="M49" s="84"/>
      <c r="N49" s="90"/>
    </row>
    <row r="50" spans="1:17" ht="13.5" x14ac:dyDescent="0.25">
      <c r="A50" s="83"/>
      <c r="B50" s="84"/>
      <c r="C50" s="85"/>
      <c r="D50" s="85"/>
      <c r="E50" s="86"/>
      <c r="F50" s="87"/>
      <c r="G50" s="84"/>
      <c r="H50" s="84"/>
      <c r="I50" s="84"/>
      <c r="J50" s="84"/>
      <c r="K50" s="84"/>
      <c r="L50" s="84"/>
      <c r="M50" s="84"/>
      <c r="N50" s="90"/>
    </row>
    <row r="51" spans="1:17" ht="13.5" x14ac:dyDescent="0.25">
      <c r="A51" s="83"/>
      <c r="B51" s="84"/>
      <c r="C51" s="85"/>
      <c r="D51" s="85"/>
      <c r="E51" s="86"/>
      <c r="F51" s="87"/>
      <c r="G51" s="84"/>
      <c r="H51" s="84"/>
      <c r="I51" s="84"/>
      <c r="J51" s="84"/>
      <c r="K51" s="84"/>
      <c r="L51" s="84"/>
      <c r="M51" s="84"/>
      <c r="N51" s="90"/>
    </row>
    <row r="52" spans="1:17" ht="13.5" x14ac:dyDescent="0.25">
      <c r="A52" s="83"/>
      <c r="B52" s="84"/>
      <c r="C52" s="85"/>
      <c r="D52" s="85"/>
      <c r="E52" s="86"/>
      <c r="F52" s="87"/>
      <c r="G52" s="84"/>
      <c r="H52" s="84"/>
      <c r="I52" s="84"/>
      <c r="J52" s="84"/>
      <c r="K52" s="84"/>
      <c r="L52" s="84"/>
      <c r="M52" s="84"/>
      <c r="N52" s="90"/>
    </row>
    <row r="53" spans="1:17" ht="13.5" x14ac:dyDescent="0.25">
      <c r="A53" s="83"/>
      <c r="B53" s="84"/>
      <c r="C53" s="85"/>
      <c r="D53" s="85"/>
      <c r="E53" s="86"/>
      <c r="F53" s="87"/>
      <c r="G53" s="84"/>
      <c r="H53" s="84"/>
      <c r="I53" s="84"/>
      <c r="J53" s="84"/>
      <c r="K53" s="84"/>
      <c r="L53" s="84"/>
      <c r="M53" s="84"/>
      <c r="N53" s="90"/>
    </row>
    <row r="54" spans="1:17" ht="13.5" x14ac:dyDescent="0.25">
      <c r="A54" s="83"/>
      <c r="B54" s="84"/>
      <c r="C54" s="85"/>
      <c r="D54" s="85"/>
      <c r="E54" s="86"/>
      <c r="F54" s="87"/>
      <c r="G54" s="84"/>
      <c r="H54" s="84"/>
      <c r="I54" s="84"/>
      <c r="J54" s="84"/>
      <c r="K54" s="84"/>
      <c r="L54" s="84"/>
      <c r="M54" s="84"/>
      <c r="N54" s="90"/>
    </row>
    <row r="55" spans="1:17" ht="13.5" x14ac:dyDescent="0.25">
      <c r="A55" s="83"/>
      <c r="B55" s="84"/>
      <c r="C55" s="85"/>
      <c r="D55" s="85"/>
      <c r="E55" s="86"/>
      <c r="F55" s="87"/>
      <c r="G55" s="84"/>
      <c r="H55" s="84"/>
      <c r="I55" s="84"/>
      <c r="J55" s="84"/>
      <c r="K55" s="84"/>
      <c r="L55" s="84"/>
      <c r="M55" s="84"/>
      <c r="N55" s="90"/>
    </row>
    <row r="56" spans="1:17" ht="13.5" x14ac:dyDescent="0.25">
      <c r="A56" s="83"/>
      <c r="B56" s="84"/>
      <c r="C56" s="85"/>
      <c r="D56" s="85"/>
      <c r="E56" s="86"/>
      <c r="F56" s="87"/>
      <c r="G56" s="84"/>
      <c r="H56" s="84"/>
      <c r="I56" s="84"/>
      <c r="J56" s="84"/>
      <c r="K56" s="84"/>
      <c r="L56" s="84"/>
      <c r="M56" s="84"/>
      <c r="N56" s="90"/>
    </row>
    <row r="57" spans="1:17" ht="13.5" x14ac:dyDescent="0.25">
      <c r="A57" s="83"/>
      <c r="B57" s="84"/>
      <c r="C57" s="85"/>
      <c r="D57" s="85"/>
      <c r="E57" s="86"/>
      <c r="F57" s="87"/>
      <c r="G57" s="84"/>
      <c r="H57" s="84"/>
      <c r="I57" s="84"/>
      <c r="J57" s="84"/>
      <c r="K57" s="84"/>
      <c r="L57" s="84"/>
      <c r="M57" s="84"/>
      <c r="N57" s="90"/>
    </row>
    <row r="58" spans="1:17" ht="14.25" thickBot="1" x14ac:dyDescent="0.3">
      <c r="A58" s="96"/>
      <c r="B58" s="97"/>
      <c r="C58" s="98"/>
      <c r="D58" s="98"/>
      <c r="E58" s="99"/>
      <c r="F58" s="100"/>
      <c r="G58" s="97"/>
      <c r="H58" s="97"/>
      <c r="I58" s="97"/>
      <c r="J58" s="97"/>
      <c r="K58" s="97"/>
      <c r="L58" s="97"/>
      <c r="M58" s="97"/>
      <c r="N58" s="101"/>
    </row>
    <row r="59" spans="1:17" ht="13.5" x14ac:dyDescent="0.25">
      <c r="A59" s="102"/>
      <c r="B59" s="84"/>
      <c r="C59" s="103"/>
      <c r="D59" s="103"/>
      <c r="E59" s="104"/>
      <c r="F59" s="105"/>
      <c r="G59" s="84"/>
      <c r="H59" s="84"/>
      <c r="I59" s="84"/>
      <c r="J59" s="84"/>
      <c r="K59" s="84"/>
      <c r="L59" s="84"/>
      <c r="M59" s="84"/>
      <c r="N59" s="84"/>
    </row>
    <row r="60" spans="1:17" ht="14.25" thickBot="1" x14ac:dyDescent="0.3">
      <c r="A60" s="102"/>
      <c r="B60" s="84"/>
      <c r="C60" s="103"/>
      <c r="D60" s="103"/>
      <c r="E60" s="104"/>
      <c r="F60" s="105"/>
      <c r="G60" s="84"/>
      <c r="H60" s="84"/>
      <c r="I60" s="84"/>
      <c r="J60" s="84"/>
      <c r="K60" s="84"/>
      <c r="L60" s="84"/>
      <c r="M60" s="84"/>
      <c r="N60" s="84"/>
    </row>
    <row r="61" spans="1:17" s="34" customFormat="1" ht="30" x14ac:dyDescent="0.25">
      <c r="A61" s="721" t="s">
        <v>12</v>
      </c>
      <c r="B61" s="722"/>
      <c r="C61" s="722"/>
      <c r="D61" s="722"/>
      <c r="E61" s="722"/>
      <c r="F61" s="30"/>
      <c r="G61" s="31"/>
      <c r="H61" s="32"/>
      <c r="I61" s="32"/>
      <c r="J61" s="32"/>
      <c r="K61" s="32"/>
      <c r="L61" s="32"/>
      <c r="M61" s="32"/>
      <c r="N61" s="33"/>
      <c r="P61" s="35"/>
      <c r="Q61" s="35"/>
    </row>
    <row r="62" spans="1:17" s="34" customFormat="1" ht="25.5" customHeight="1" x14ac:dyDescent="0.25">
      <c r="A62" s="730" t="s">
        <v>140</v>
      </c>
      <c r="B62" s="731"/>
      <c r="C62" s="731"/>
      <c r="D62" s="731"/>
      <c r="E62" s="731"/>
      <c r="F62" s="36"/>
      <c r="G62" s="37"/>
      <c r="N62" s="38"/>
      <c r="P62" s="35"/>
      <c r="Q62" s="35"/>
    </row>
    <row r="63" spans="1:17" s="34" customFormat="1" ht="23.25" x14ac:dyDescent="0.25">
      <c r="A63" s="725" t="str">
        <f>A3</f>
        <v>NÚCLEO DE ORÇAMENTO E PLANEJAMENTO</v>
      </c>
      <c r="B63" s="726"/>
      <c r="C63" s="726"/>
      <c r="D63" s="726"/>
      <c r="E63" s="726"/>
      <c r="F63" s="36"/>
      <c r="G63" s="37"/>
      <c r="N63" s="38"/>
      <c r="P63" s="35"/>
      <c r="Q63" s="35"/>
    </row>
    <row r="64" spans="1:17" s="34" customFormat="1" ht="29.25" customHeight="1" x14ac:dyDescent="0.25">
      <c r="A64" s="55" t="s">
        <v>6</v>
      </c>
      <c r="B64" s="1"/>
      <c r="C64" s="2"/>
      <c r="D64" s="50"/>
      <c r="E64" s="732" t="s">
        <v>8</v>
      </c>
      <c r="F64" s="732"/>
      <c r="G64" s="37"/>
      <c r="N64" s="38"/>
      <c r="P64" s="35"/>
      <c r="Q64" s="35"/>
    </row>
    <row r="65" spans="1:17" s="34" customFormat="1" ht="40.15" customHeight="1" x14ac:dyDescent="0.3">
      <c r="A65" s="723" t="str">
        <f>A5</f>
        <v>Conclusão da obra da FÁRMACIA UNIVERSITÁRIA.</v>
      </c>
      <c r="B65" s="724"/>
      <c r="C65" s="724"/>
      <c r="D65" s="724"/>
      <c r="E65" s="727" t="str">
        <f>E5</f>
        <v>JULHO/2025</v>
      </c>
      <c r="F65" s="727"/>
      <c r="G65" s="37"/>
      <c r="N65" s="38"/>
      <c r="P65" s="35"/>
      <c r="Q65" s="35"/>
    </row>
    <row r="66" spans="1:17" s="34" customFormat="1" ht="16.5" customHeight="1" x14ac:dyDescent="0.3">
      <c r="A66" s="733" t="s">
        <v>7</v>
      </c>
      <c r="B66" s="732"/>
      <c r="C66" s="2"/>
      <c r="D66" s="42"/>
      <c r="E66" s="732" t="s">
        <v>16</v>
      </c>
      <c r="F66" s="732"/>
      <c r="G66" s="705" t="s">
        <v>17</v>
      </c>
      <c r="H66" s="705"/>
      <c r="J66" s="702" t="s">
        <v>18</v>
      </c>
      <c r="K66" s="702"/>
      <c r="L66" s="339"/>
      <c r="M66" s="702" t="s">
        <v>227</v>
      </c>
      <c r="N66" s="703"/>
      <c r="P66" s="35"/>
      <c r="Q66" s="35"/>
    </row>
    <row r="67" spans="1:17" s="34" customFormat="1" ht="21" thickBot="1" x14ac:dyDescent="0.35">
      <c r="A67" s="320" t="str">
        <f>A7</f>
        <v>Campus Universitário de Ondina - Salvador - Bahia</v>
      </c>
      <c r="B67" s="321"/>
      <c r="C67" s="322"/>
      <c r="D67" s="323"/>
      <c r="E67" s="704">
        <f>E7</f>
        <v>274.14999999999998</v>
      </c>
      <c r="F67" s="704"/>
      <c r="G67" s="704">
        <f>G7</f>
        <v>676349.55773491994</v>
      </c>
      <c r="H67" s="704"/>
      <c r="I67" s="319"/>
      <c r="J67" s="704">
        <f>G67/E67</f>
        <v>2467.0784524345067</v>
      </c>
      <c r="K67" s="704"/>
      <c r="L67" s="340"/>
      <c r="M67" s="700">
        <f>SERVIÇOS!$F$14</f>
        <v>4</v>
      </c>
      <c r="N67" s="701"/>
      <c r="P67" s="35"/>
      <c r="Q67" s="35"/>
    </row>
    <row r="68" spans="1:17" ht="21" customHeight="1" thickBot="1" x14ac:dyDescent="0.3">
      <c r="A68" s="579"/>
      <c r="B68" s="580"/>
      <c r="C68" s="581"/>
      <c r="D68" s="581"/>
      <c r="E68" s="582"/>
      <c r="F68" s="583"/>
      <c r="G68" s="584"/>
      <c r="H68" s="584"/>
      <c r="I68" s="584"/>
      <c r="J68" s="584"/>
      <c r="K68" s="584"/>
      <c r="L68" s="584"/>
      <c r="M68" s="584"/>
      <c r="N68" s="585"/>
    </row>
    <row r="69" spans="1:17" ht="13.5" x14ac:dyDescent="0.25">
      <c r="A69" s="106"/>
      <c r="B69" s="107"/>
      <c r="C69" s="108"/>
      <c r="D69" s="108"/>
      <c r="E69" s="109"/>
      <c r="F69" s="110"/>
      <c r="G69" s="107"/>
      <c r="H69" s="107"/>
      <c r="I69" s="107"/>
      <c r="J69" s="107"/>
      <c r="K69" s="107"/>
      <c r="L69" s="107"/>
      <c r="M69" s="107"/>
      <c r="N69" s="111"/>
    </row>
    <row r="70" spans="1:17" ht="13.5" x14ac:dyDescent="0.25">
      <c r="A70" s="83"/>
      <c r="B70" s="84"/>
      <c r="C70" s="85"/>
      <c r="D70" s="85"/>
      <c r="E70" s="86"/>
      <c r="F70" s="87"/>
      <c r="G70" s="84"/>
      <c r="H70" s="84"/>
      <c r="I70" s="84"/>
      <c r="J70" s="84"/>
      <c r="K70" s="84"/>
      <c r="L70" s="84"/>
      <c r="M70" s="84"/>
      <c r="N70" s="90"/>
    </row>
    <row r="71" spans="1:17" ht="13.5" x14ac:dyDescent="0.25">
      <c r="A71" s="83"/>
      <c r="B71" s="84"/>
      <c r="C71" s="85"/>
      <c r="D71" s="85"/>
      <c r="E71" s="86"/>
      <c r="F71" s="87"/>
      <c r="G71" s="84"/>
      <c r="H71" s="84"/>
      <c r="I71" s="84"/>
      <c r="J71" s="84"/>
      <c r="K71" s="84"/>
      <c r="L71" s="84"/>
      <c r="M71" s="84"/>
      <c r="N71" s="90"/>
    </row>
    <row r="72" spans="1:17" ht="13.5" x14ac:dyDescent="0.25">
      <c r="A72" s="83"/>
      <c r="B72" s="84"/>
      <c r="C72" s="85"/>
      <c r="D72" s="85"/>
      <c r="E72" s="86"/>
      <c r="F72" s="87"/>
      <c r="G72" s="84"/>
      <c r="H72" s="84"/>
      <c r="I72" s="84"/>
      <c r="J72" s="84"/>
      <c r="K72" s="84"/>
      <c r="L72" s="84"/>
      <c r="M72" s="84"/>
      <c r="N72" s="90"/>
    </row>
    <row r="73" spans="1:17" ht="13.5" x14ac:dyDescent="0.25">
      <c r="A73" s="83"/>
      <c r="B73" s="84"/>
      <c r="C73" s="85"/>
      <c r="D73" s="85"/>
      <c r="E73" s="86"/>
      <c r="F73" s="87"/>
      <c r="G73" s="84"/>
      <c r="H73" s="84"/>
      <c r="I73" s="84"/>
      <c r="J73" s="84"/>
      <c r="K73" s="84"/>
      <c r="L73" s="84"/>
      <c r="M73" s="84"/>
      <c r="N73" s="90"/>
    </row>
    <row r="74" spans="1:17" ht="13.5" x14ac:dyDescent="0.25">
      <c r="A74" s="83"/>
      <c r="B74" s="84"/>
      <c r="C74" s="85"/>
      <c r="D74" s="85"/>
      <c r="E74" s="86"/>
      <c r="F74" s="87"/>
      <c r="G74" s="84"/>
      <c r="H74" s="84"/>
      <c r="I74" s="84"/>
      <c r="J74" s="84"/>
      <c r="K74" s="84"/>
      <c r="L74" s="84"/>
      <c r="M74" s="84"/>
      <c r="N74" s="90"/>
    </row>
    <row r="75" spans="1:17" ht="13.5" x14ac:dyDescent="0.25">
      <c r="A75" s="83"/>
      <c r="B75" s="84"/>
      <c r="C75" s="85"/>
      <c r="D75" s="85"/>
      <c r="E75" s="86"/>
      <c r="F75" s="87"/>
      <c r="G75" s="84"/>
      <c r="H75" s="84"/>
      <c r="I75" s="84"/>
      <c r="J75" s="84"/>
      <c r="K75" s="84"/>
      <c r="L75" s="84"/>
      <c r="M75" s="84"/>
      <c r="N75" s="90"/>
    </row>
    <row r="76" spans="1:17" ht="13.5" x14ac:dyDescent="0.25">
      <c r="A76" s="83"/>
      <c r="B76" s="84"/>
      <c r="C76" s="85"/>
      <c r="D76" s="85"/>
      <c r="E76" s="86"/>
      <c r="F76" s="87"/>
      <c r="G76" s="84"/>
      <c r="H76" s="84"/>
      <c r="I76" s="84"/>
      <c r="J76" s="84"/>
      <c r="K76" s="84"/>
      <c r="L76" s="84"/>
      <c r="M76" s="84"/>
      <c r="N76" s="90"/>
    </row>
    <row r="77" spans="1:17" ht="13.5" x14ac:dyDescent="0.25">
      <c r="A77" s="83"/>
      <c r="B77" s="84"/>
      <c r="C77" s="85"/>
      <c r="D77" s="85"/>
      <c r="E77" s="86"/>
      <c r="F77" s="87"/>
      <c r="G77" s="84"/>
      <c r="H77" s="84"/>
      <c r="I77" s="84"/>
      <c r="J77" s="84"/>
      <c r="K77" s="84"/>
      <c r="L77" s="84"/>
      <c r="M77" s="84"/>
      <c r="N77" s="90"/>
    </row>
    <row r="78" spans="1:17" ht="13.5" x14ac:dyDescent="0.25">
      <c r="A78" s="83"/>
      <c r="B78" s="84"/>
      <c r="C78" s="85"/>
      <c r="D78" s="85"/>
      <c r="E78" s="86"/>
      <c r="F78" s="87"/>
      <c r="G78" s="84"/>
      <c r="H78" s="84"/>
      <c r="I78" s="84"/>
      <c r="J78" s="84"/>
      <c r="K78" s="84"/>
      <c r="L78" s="84"/>
      <c r="M78" s="84"/>
      <c r="N78" s="90"/>
    </row>
    <row r="79" spans="1:17" ht="13.5" x14ac:dyDescent="0.25">
      <c r="A79" s="83"/>
      <c r="B79" s="84"/>
      <c r="C79" s="85"/>
      <c r="D79" s="85"/>
      <c r="E79" s="86"/>
      <c r="F79" s="87"/>
      <c r="G79" s="84"/>
      <c r="H79" s="84"/>
      <c r="I79" s="84"/>
      <c r="J79" s="84"/>
      <c r="K79" s="84"/>
      <c r="L79" s="84"/>
      <c r="M79" s="84"/>
      <c r="N79" s="90"/>
    </row>
    <row r="80" spans="1:17" ht="13.5" x14ac:dyDescent="0.25">
      <c r="A80" s="83"/>
      <c r="B80" s="84"/>
      <c r="C80" s="85"/>
      <c r="D80" s="85"/>
      <c r="E80" s="86"/>
      <c r="F80" s="87"/>
      <c r="G80" s="84"/>
      <c r="H80" s="84"/>
      <c r="I80" s="84"/>
      <c r="J80" s="84"/>
      <c r="K80" s="84"/>
      <c r="L80" s="84"/>
      <c r="M80" s="84"/>
      <c r="N80" s="90"/>
    </row>
    <row r="81" spans="1:14" ht="13.5" x14ac:dyDescent="0.25">
      <c r="A81" s="83"/>
      <c r="B81" s="84"/>
      <c r="C81" s="85"/>
      <c r="D81" s="85"/>
      <c r="E81" s="86"/>
      <c r="F81" s="87"/>
      <c r="G81" s="84"/>
      <c r="H81" s="84"/>
      <c r="I81" s="84"/>
      <c r="J81" s="84"/>
      <c r="K81" s="84"/>
      <c r="L81" s="84"/>
      <c r="M81" s="84"/>
      <c r="N81" s="90"/>
    </row>
    <row r="82" spans="1:14" ht="13.5" x14ac:dyDescent="0.25">
      <c r="A82" s="83"/>
      <c r="B82" s="84"/>
      <c r="C82" s="85"/>
      <c r="D82" s="85"/>
      <c r="E82" s="86"/>
      <c r="F82" s="87"/>
      <c r="G82" s="84"/>
      <c r="H82" s="84"/>
      <c r="I82" s="84"/>
      <c r="J82" s="84"/>
      <c r="K82" s="84"/>
      <c r="L82" s="84"/>
      <c r="M82" s="84"/>
      <c r="N82" s="90"/>
    </row>
    <row r="83" spans="1:14" ht="13.5" x14ac:dyDescent="0.25">
      <c r="A83" s="83"/>
      <c r="B83" s="84"/>
      <c r="C83" s="85"/>
      <c r="D83" s="85"/>
      <c r="E83" s="86"/>
      <c r="F83" s="87"/>
      <c r="G83" s="84"/>
      <c r="H83" s="84"/>
      <c r="I83" s="84"/>
      <c r="J83" s="84"/>
      <c r="K83" s="84"/>
      <c r="L83" s="84"/>
      <c r="M83" s="84"/>
      <c r="N83" s="90"/>
    </row>
    <row r="84" spans="1:14" ht="13.5" x14ac:dyDescent="0.25">
      <c r="A84" s="83"/>
      <c r="B84" s="84"/>
      <c r="C84" s="85"/>
      <c r="D84" s="85"/>
      <c r="E84" s="86"/>
      <c r="F84" s="87"/>
      <c r="G84" s="84"/>
      <c r="H84" s="84"/>
      <c r="I84" s="84"/>
      <c r="J84" s="84"/>
      <c r="K84" s="84"/>
      <c r="L84" s="84"/>
      <c r="M84" s="84"/>
      <c r="N84" s="90"/>
    </row>
    <row r="85" spans="1:14" ht="13.5" x14ac:dyDescent="0.25">
      <c r="A85" s="83"/>
      <c r="B85" s="84"/>
      <c r="C85" s="85"/>
      <c r="D85" s="85"/>
      <c r="E85" s="86"/>
      <c r="F85" s="87"/>
      <c r="G85" s="84"/>
      <c r="H85" s="84"/>
      <c r="I85" s="84"/>
      <c r="J85" s="84"/>
      <c r="K85" s="84"/>
      <c r="L85" s="84"/>
      <c r="M85" s="84"/>
      <c r="N85" s="90"/>
    </row>
    <row r="86" spans="1:14" ht="13.5" x14ac:dyDescent="0.25">
      <c r="A86" s="83"/>
      <c r="B86" s="84"/>
      <c r="C86" s="85"/>
      <c r="D86" s="85"/>
      <c r="E86" s="86"/>
      <c r="F86" s="87"/>
      <c r="G86" s="84"/>
      <c r="H86" s="84"/>
      <c r="I86" s="84"/>
      <c r="J86" s="84"/>
      <c r="K86" s="84"/>
      <c r="L86" s="84"/>
      <c r="M86" s="84"/>
      <c r="N86" s="90"/>
    </row>
    <row r="87" spans="1:14" ht="13.5" x14ac:dyDescent="0.25">
      <c r="A87" s="83"/>
      <c r="B87" s="84"/>
      <c r="C87" s="85"/>
      <c r="D87" s="85"/>
      <c r="E87" s="86"/>
      <c r="F87" s="87"/>
      <c r="G87" s="84"/>
      <c r="H87" s="84"/>
      <c r="I87" s="84"/>
      <c r="J87" s="84"/>
      <c r="K87" s="84"/>
      <c r="L87" s="84"/>
      <c r="M87" s="84"/>
      <c r="N87" s="90"/>
    </row>
    <row r="88" spans="1:14" ht="13.5" x14ac:dyDescent="0.25">
      <c r="A88" s="83"/>
      <c r="B88" s="84"/>
      <c r="C88" s="85"/>
      <c r="D88" s="85"/>
      <c r="E88" s="86"/>
      <c r="F88" s="87"/>
      <c r="G88" s="84"/>
      <c r="H88" s="84"/>
      <c r="I88" s="84"/>
      <c r="J88" s="84"/>
      <c r="K88" s="84"/>
      <c r="L88" s="84"/>
      <c r="M88" s="84"/>
      <c r="N88" s="90"/>
    </row>
    <row r="89" spans="1:14" ht="13.5" x14ac:dyDescent="0.25">
      <c r="A89" s="83"/>
      <c r="B89" s="84"/>
      <c r="C89" s="85"/>
      <c r="D89" s="85"/>
      <c r="E89" s="86"/>
      <c r="F89" s="87"/>
      <c r="G89" s="84"/>
      <c r="H89" s="84"/>
      <c r="I89" s="84"/>
      <c r="J89" s="84"/>
      <c r="K89" s="84"/>
      <c r="L89" s="84"/>
      <c r="M89" s="84"/>
      <c r="N89" s="90"/>
    </row>
    <row r="90" spans="1:14" ht="13.5" x14ac:dyDescent="0.25">
      <c r="A90" s="83"/>
      <c r="B90" s="84"/>
      <c r="C90" s="85"/>
      <c r="D90" s="85"/>
      <c r="E90" s="86"/>
      <c r="F90" s="87"/>
      <c r="G90" s="84"/>
      <c r="H90" s="84"/>
      <c r="I90" s="84"/>
      <c r="J90" s="84"/>
      <c r="K90" s="84"/>
      <c r="L90" s="84"/>
      <c r="M90" s="84"/>
      <c r="N90" s="90"/>
    </row>
    <row r="91" spans="1:14" ht="13.5" x14ac:dyDescent="0.25">
      <c r="A91" s="83"/>
      <c r="B91" s="84"/>
      <c r="C91" s="85"/>
      <c r="D91" s="85"/>
      <c r="E91" s="86"/>
      <c r="F91" s="87"/>
      <c r="G91" s="84"/>
      <c r="H91" s="84"/>
      <c r="I91" s="84"/>
      <c r="J91" s="84"/>
      <c r="K91" s="84"/>
      <c r="L91" s="84"/>
      <c r="M91" s="84"/>
      <c r="N91" s="90"/>
    </row>
    <row r="92" spans="1:14" ht="13.5" x14ac:dyDescent="0.25">
      <c r="A92" s="83"/>
      <c r="B92" s="84"/>
      <c r="C92" s="85"/>
      <c r="D92" s="85"/>
      <c r="E92" s="86"/>
      <c r="F92" s="87"/>
      <c r="G92" s="84"/>
      <c r="H92" s="84"/>
      <c r="I92" s="84"/>
      <c r="J92" s="84"/>
      <c r="K92" s="84"/>
      <c r="L92" s="84"/>
      <c r="M92" s="84"/>
      <c r="N92" s="90"/>
    </row>
    <row r="93" spans="1:14" ht="13.5" x14ac:dyDescent="0.25">
      <c r="A93" s="83"/>
      <c r="B93" s="84"/>
      <c r="C93" s="85"/>
      <c r="D93" s="85"/>
      <c r="E93" s="86"/>
      <c r="F93" s="87"/>
      <c r="G93" s="84"/>
      <c r="H93" s="84"/>
      <c r="I93" s="84"/>
      <c r="J93" s="84"/>
      <c r="K93" s="84"/>
      <c r="L93" s="84"/>
      <c r="M93" s="84"/>
      <c r="N93" s="90"/>
    </row>
    <row r="94" spans="1:14" ht="13.5" x14ac:dyDescent="0.25">
      <c r="A94" s="83"/>
      <c r="B94" s="84"/>
      <c r="C94" s="85"/>
      <c r="D94" s="85"/>
      <c r="E94" s="86"/>
      <c r="F94" s="87"/>
      <c r="G94" s="84"/>
      <c r="H94" s="84"/>
      <c r="I94" s="84"/>
      <c r="J94" s="84"/>
      <c r="K94" s="84"/>
      <c r="L94" s="84"/>
      <c r="M94" s="84"/>
      <c r="N94" s="90"/>
    </row>
    <row r="95" spans="1:14" ht="13.5" x14ac:dyDescent="0.25">
      <c r="A95" s="83"/>
      <c r="B95" s="84"/>
      <c r="C95" s="85"/>
      <c r="D95" s="85"/>
      <c r="E95" s="86"/>
      <c r="F95" s="87"/>
      <c r="G95" s="84"/>
      <c r="H95" s="84"/>
      <c r="I95" s="84"/>
      <c r="J95" s="84"/>
      <c r="K95" s="84"/>
      <c r="L95" s="84"/>
      <c r="M95" s="84"/>
      <c r="N95" s="90"/>
    </row>
    <row r="96" spans="1:14" ht="13.5" x14ac:dyDescent="0.25">
      <c r="A96" s="83"/>
      <c r="B96" s="84"/>
      <c r="C96" s="85"/>
      <c r="D96" s="85"/>
      <c r="E96" s="86"/>
      <c r="F96" s="87"/>
      <c r="G96" s="84"/>
      <c r="H96" s="84"/>
      <c r="I96" s="84"/>
      <c r="J96" s="84"/>
      <c r="K96" s="84"/>
      <c r="L96" s="84"/>
      <c r="M96" s="84"/>
      <c r="N96" s="90"/>
    </row>
    <row r="97" spans="1:17" ht="13.5" x14ac:dyDescent="0.25">
      <c r="A97" s="83"/>
      <c r="B97" s="84"/>
      <c r="C97" s="85"/>
      <c r="D97" s="85"/>
      <c r="E97" s="86"/>
      <c r="F97" s="87"/>
      <c r="G97" s="84"/>
      <c r="H97" s="84"/>
      <c r="I97" s="84"/>
      <c r="J97" s="84"/>
      <c r="K97" s="84"/>
      <c r="L97" s="84"/>
      <c r="M97" s="84"/>
      <c r="N97" s="90"/>
    </row>
    <row r="98" spans="1:17" ht="13.5" x14ac:dyDescent="0.25">
      <c r="A98" s="83"/>
      <c r="B98" s="84"/>
      <c r="C98" s="85"/>
      <c r="D98" s="85"/>
      <c r="E98" s="86"/>
      <c r="F98" s="87"/>
      <c r="G98" s="84"/>
      <c r="H98" s="84"/>
      <c r="I98" s="84"/>
      <c r="J98" s="84"/>
      <c r="K98" s="84"/>
      <c r="L98" s="84"/>
      <c r="M98" s="84"/>
      <c r="N98" s="90"/>
    </row>
    <row r="99" spans="1:17" ht="13.5" x14ac:dyDescent="0.25">
      <c r="A99" s="83"/>
      <c r="B99" s="84"/>
      <c r="C99" s="85"/>
      <c r="D99" s="85"/>
      <c r="E99" s="86"/>
      <c r="F99" s="87"/>
      <c r="G99" s="84"/>
      <c r="H99" s="84"/>
      <c r="I99" s="84"/>
      <c r="J99" s="84"/>
      <c r="K99" s="84"/>
      <c r="L99" s="84"/>
      <c r="M99" s="84"/>
      <c r="N99" s="90"/>
    </row>
    <row r="100" spans="1:17" ht="13.5" x14ac:dyDescent="0.25">
      <c r="A100" s="83"/>
      <c r="B100" s="84"/>
      <c r="C100" s="85"/>
      <c r="D100" s="85"/>
      <c r="E100" s="86"/>
      <c r="F100" s="87"/>
      <c r="G100" s="84"/>
      <c r="H100" s="84"/>
      <c r="I100" s="84"/>
      <c r="J100" s="84"/>
      <c r="K100" s="84"/>
      <c r="L100" s="84"/>
      <c r="M100" s="84"/>
      <c r="N100" s="90"/>
    </row>
    <row r="101" spans="1:17" ht="13.5" x14ac:dyDescent="0.25">
      <c r="A101" s="83"/>
      <c r="B101" s="84"/>
      <c r="C101" s="85"/>
      <c r="D101" s="85"/>
      <c r="E101" s="86"/>
      <c r="F101" s="87"/>
      <c r="G101" s="84"/>
      <c r="H101" s="84"/>
      <c r="I101" s="84"/>
      <c r="J101" s="84"/>
      <c r="K101" s="84"/>
      <c r="L101" s="84"/>
      <c r="M101" s="84"/>
      <c r="N101" s="90"/>
    </row>
    <row r="102" spans="1:17" ht="13.5" x14ac:dyDescent="0.25">
      <c r="A102" s="83"/>
      <c r="B102" s="84"/>
      <c r="C102" s="85"/>
      <c r="D102" s="85"/>
      <c r="E102" s="86"/>
      <c r="F102" s="87"/>
      <c r="G102" s="84"/>
      <c r="H102" s="84"/>
      <c r="I102" s="84"/>
      <c r="J102" s="84"/>
      <c r="K102" s="84"/>
      <c r="L102" s="84"/>
      <c r="M102" s="84"/>
      <c r="N102" s="90"/>
    </row>
    <row r="103" spans="1:17" ht="14.25" thickBot="1" x14ac:dyDescent="0.3">
      <c r="A103" s="96"/>
      <c r="B103" s="97"/>
      <c r="C103" s="98"/>
      <c r="D103" s="98"/>
      <c r="E103" s="99"/>
      <c r="F103" s="100"/>
      <c r="G103" s="97"/>
      <c r="H103" s="97"/>
      <c r="I103" s="97"/>
      <c r="J103" s="97"/>
      <c r="K103" s="97"/>
      <c r="L103" s="97"/>
      <c r="M103" s="97"/>
      <c r="N103" s="101"/>
    </row>
    <row r="104" spans="1:17" ht="13.5" x14ac:dyDescent="0.25">
      <c r="A104" s="102"/>
      <c r="B104" s="84"/>
      <c r="C104" s="103"/>
      <c r="D104" s="103"/>
      <c r="E104" s="104"/>
      <c r="F104" s="105"/>
      <c r="G104" s="84"/>
      <c r="H104" s="84"/>
      <c r="I104" s="84"/>
      <c r="J104" s="84"/>
      <c r="K104" s="84"/>
      <c r="L104" s="84"/>
      <c r="M104" s="84"/>
      <c r="N104" s="84"/>
    </row>
    <row r="105" spans="1:17" ht="14.25" thickBot="1" x14ac:dyDescent="0.3">
      <c r="A105" s="102"/>
      <c r="B105" s="84"/>
      <c r="C105" s="103"/>
      <c r="D105" s="103"/>
      <c r="E105" s="104"/>
      <c r="F105" s="105"/>
      <c r="G105" s="84"/>
      <c r="H105" s="84"/>
      <c r="I105" s="84"/>
      <c r="J105" s="84"/>
      <c r="K105" s="84"/>
      <c r="L105" s="84"/>
      <c r="M105" s="84"/>
      <c r="N105" s="84"/>
    </row>
    <row r="106" spans="1:17" s="34" customFormat="1" ht="30" x14ac:dyDescent="0.25">
      <c r="A106" s="721" t="s">
        <v>12</v>
      </c>
      <c r="B106" s="722"/>
      <c r="C106" s="722"/>
      <c r="D106" s="722"/>
      <c r="E106" s="722"/>
      <c r="F106" s="30"/>
      <c r="G106" s="31"/>
      <c r="H106" s="32"/>
      <c r="I106" s="32"/>
      <c r="J106" s="32"/>
      <c r="K106" s="32"/>
      <c r="L106" s="32"/>
      <c r="M106" s="32"/>
      <c r="N106" s="33"/>
      <c r="P106" s="35"/>
      <c r="Q106" s="35"/>
    </row>
    <row r="107" spans="1:17" s="34" customFormat="1" ht="25.5" customHeight="1" x14ac:dyDescent="0.25">
      <c r="A107" s="730" t="s">
        <v>140</v>
      </c>
      <c r="B107" s="731"/>
      <c r="C107" s="731"/>
      <c r="D107" s="731"/>
      <c r="E107" s="731"/>
      <c r="F107" s="36"/>
      <c r="G107" s="37"/>
      <c r="N107" s="38"/>
      <c r="P107" s="35"/>
      <c r="Q107" s="35"/>
    </row>
    <row r="108" spans="1:17" s="34" customFormat="1" ht="23.25" x14ac:dyDescent="0.25">
      <c r="A108" s="725" t="str">
        <f>A63</f>
        <v>NÚCLEO DE ORÇAMENTO E PLANEJAMENTO</v>
      </c>
      <c r="B108" s="726"/>
      <c r="C108" s="726"/>
      <c r="D108" s="726"/>
      <c r="E108" s="726"/>
      <c r="F108" s="36"/>
      <c r="G108" s="37"/>
      <c r="N108" s="38"/>
      <c r="P108" s="35"/>
      <c r="Q108" s="35"/>
    </row>
    <row r="109" spans="1:17" s="34" customFormat="1" ht="27.75" customHeight="1" x14ac:dyDescent="0.25">
      <c r="A109" s="55" t="s">
        <v>6</v>
      </c>
      <c r="B109" s="1"/>
      <c r="C109" s="2"/>
      <c r="D109" s="50"/>
      <c r="E109" s="324" t="s">
        <v>8</v>
      </c>
      <c r="F109" s="36"/>
      <c r="G109" s="37"/>
      <c r="N109" s="38"/>
      <c r="P109" s="35"/>
      <c r="Q109" s="35"/>
    </row>
    <row r="110" spans="1:17" s="34" customFormat="1" ht="40.15" customHeight="1" x14ac:dyDescent="0.3">
      <c r="A110" s="723" t="str">
        <f>A65</f>
        <v>Conclusão da obra da FÁRMACIA UNIVERSITÁRIA.</v>
      </c>
      <c r="B110" s="724"/>
      <c r="C110" s="724"/>
      <c r="D110" s="724"/>
      <c r="E110" s="727" t="str">
        <f>E65</f>
        <v>JULHO/2025</v>
      </c>
      <c r="F110" s="727"/>
      <c r="G110" s="37"/>
      <c r="N110" s="38"/>
      <c r="P110" s="35"/>
      <c r="Q110" s="35"/>
    </row>
    <row r="111" spans="1:17" s="34" customFormat="1" ht="20.25" x14ac:dyDescent="0.3">
      <c r="A111" s="728" t="s">
        <v>7</v>
      </c>
      <c r="B111" s="729"/>
      <c r="C111" s="2"/>
      <c r="D111" s="42"/>
      <c r="E111" s="325" t="s">
        <v>16</v>
      </c>
      <c r="F111" s="36"/>
      <c r="G111" s="705" t="s">
        <v>17</v>
      </c>
      <c r="H111" s="705"/>
      <c r="J111" s="702" t="s">
        <v>18</v>
      </c>
      <c r="K111" s="702"/>
      <c r="L111" s="339"/>
      <c r="M111" s="702" t="s">
        <v>227</v>
      </c>
      <c r="N111" s="703"/>
      <c r="P111" s="35"/>
      <c r="Q111" s="35"/>
    </row>
    <row r="112" spans="1:17" s="34" customFormat="1" ht="21" thickBot="1" x14ac:dyDescent="0.35">
      <c r="A112" s="320" t="str">
        <f>A67</f>
        <v>Campus Universitário de Ondina - Salvador - Bahia</v>
      </c>
      <c r="B112" s="320"/>
      <c r="C112" s="322"/>
      <c r="D112" s="323"/>
      <c r="E112" s="704">
        <f>E67</f>
        <v>274.14999999999998</v>
      </c>
      <c r="F112" s="704"/>
      <c r="G112" s="704">
        <f>G67</f>
        <v>676349.55773491994</v>
      </c>
      <c r="H112" s="704"/>
      <c r="I112" s="319"/>
      <c r="J112" s="704">
        <f>G112/E112</f>
        <v>2467.0784524345067</v>
      </c>
      <c r="K112" s="704"/>
      <c r="L112" s="340"/>
      <c r="M112" s="700">
        <f>SERVIÇOS!$F$14</f>
        <v>4</v>
      </c>
      <c r="N112" s="701"/>
      <c r="P112" s="35"/>
      <c r="Q112" s="35"/>
    </row>
    <row r="113" spans="1:14" ht="21" customHeight="1" thickBot="1" x14ac:dyDescent="0.3">
      <c r="A113" s="579"/>
      <c r="B113" s="580"/>
      <c r="C113" s="581"/>
      <c r="D113" s="581"/>
      <c r="E113" s="582"/>
      <c r="F113" s="583"/>
      <c r="G113" s="584"/>
      <c r="H113" s="584"/>
      <c r="I113" s="584"/>
      <c r="J113" s="584"/>
      <c r="K113" s="584"/>
      <c r="L113" s="584"/>
      <c r="M113" s="584"/>
      <c r="N113" s="585"/>
    </row>
    <row r="114" spans="1:14" ht="13.5" x14ac:dyDescent="0.25">
      <c r="A114" s="106"/>
      <c r="B114" s="107"/>
      <c r="C114" s="108"/>
      <c r="D114" s="108"/>
      <c r="E114" s="109"/>
      <c r="F114" s="110"/>
      <c r="G114" s="107"/>
      <c r="H114" s="107"/>
      <c r="I114" s="107"/>
      <c r="J114" s="107"/>
      <c r="K114" s="107"/>
      <c r="L114" s="107"/>
      <c r="M114" s="107"/>
      <c r="N114" s="111"/>
    </row>
    <row r="115" spans="1:14" ht="13.5" x14ac:dyDescent="0.25">
      <c r="A115" s="83"/>
      <c r="B115" s="84"/>
      <c r="C115" s="85"/>
      <c r="D115" s="85"/>
      <c r="E115" s="86"/>
      <c r="F115" s="87"/>
      <c r="G115" s="84"/>
      <c r="H115" s="84"/>
      <c r="I115" s="84"/>
      <c r="J115" s="84"/>
      <c r="K115" s="84"/>
      <c r="L115" s="84"/>
      <c r="M115" s="84"/>
      <c r="N115" s="90"/>
    </row>
    <row r="116" spans="1:14" ht="13.5" x14ac:dyDescent="0.25">
      <c r="A116" s="83"/>
      <c r="B116" s="84"/>
      <c r="C116" s="85"/>
      <c r="D116" s="85"/>
      <c r="E116" s="86"/>
      <c r="F116" s="87"/>
      <c r="G116" s="84"/>
      <c r="H116" s="84"/>
      <c r="I116" s="84"/>
      <c r="J116" s="84"/>
      <c r="K116" s="84"/>
      <c r="L116" s="84"/>
      <c r="M116" s="84"/>
      <c r="N116" s="90"/>
    </row>
    <row r="117" spans="1:14" ht="13.5" x14ac:dyDescent="0.25">
      <c r="A117" s="83"/>
      <c r="B117" s="84"/>
      <c r="C117" s="85"/>
      <c r="D117" s="85"/>
      <c r="E117" s="86"/>
      <c r="F117" s="87"/>
      <c r="G117" s="84"/>
      <c r="H117" s="84"/>
      <c r="I117" s="84"/>
      <c r="J117" s="84"/>
      <c r="K117" s="84"/>
      <c r="L117" s="84"/>
      <c r="M117" s="84"/>
      <c r="N117" s="90"/>
    </row>
    <row r="118" spans="1:14" ht="13.5" x14ac:dyDescent="0.25">
      <c r="A118" s="83"/>
      <c r="B118" s="84"/>
      <c r="C118" s="85"/>
      <c r="D118" s="85"/>
      <c r="E118" s="86"/>
      <c r="F118" s="87"/>
      <c r="G118" s="84"/>
      <c r="H118" s="84"/>
      <c r="I118" s="84"/>
      <c r="J118" s="84"/>
      <c r="K118" s="84"/>
      <c r="L118" s="84"/>
      <c r="M118" s="84"/>
      <c r="N118" s="90"/>
    </row>
    <row r="119" spans="1:14" ht="13.5" x14ac:dyDescent="0.25">
      <c r="A119" s="83"/>
      <c r="B119" s="84"/>
      <c r="C119" s="85"/>
      <c r="D119" s="85"/>
      <c r="E119" s="86"/>
      <c r="F119" s="87"/>
      <c r="G119" s="84"/>
      <c r="H119" s="84"/>
      <c r="I119" s="84"/>
      <c r="J119" s="84"/>
      <c r="K119" s="84"/>
      <c r="L119" s="84"/>
      <c r="M119" s="84"/>
      <c r="N119" s="90"/>
    </row>
    <row r="120" spans="1:14" ht="13.5" x14ac:dyDescent="0.25">
      <c r="A120" s="83"/>
      <c r="B120" s="84"/>
      <c r="C120" s="85"/>
      <c r="D120" s="85"/>
      <c r="E120" s="86"/>
      <c r="F120" s="87"/>
      <c r="G120" s="84"/>
      <c r="H120" s="84"/>
      <c r="I120" s="84"/>
      <c r="J120" s="84"/>
      <c r="K120" s="84"/>
      <c r="L120" s="84"/>
      <c r="M120" s="84"/>
      <c r="N120" s="90"/>
    </row>
    <row r="121" spans="1:14" ht="13.5" x14ac:dyDescent="0.25">
      <c r="A121" s="83"/>
      <c r="B121" s="84"/>
      <c r="C121" s="85"/>
      <c r="D121" s="85"/>
      <c r="E121" s="86"/>
      <c r="F121" s="87"/>
      <c r="G121" s="84"/>
      <c r="H121" s="84"/>
      <c r="I121" s="84"/>
      <c r="J121" s="84"/>
      <c r="K121" s="84"/>
      <c r="L121" s="84"/>
      <c r="M121" s="84"/>
      <c r="N121" s="90"/>
    </row>
    <row r="122" spans="1:14" ht="13.5" x14ac:dyDescent="0.25">
      <c r="A122" s="83"/>
      <c r="B122" s="84"/>
      <c r="C122" s="85"/>
      <c r="D122" s="85"/>
      <c r="E122" s="86"/>
      <c r="F122" s="87"/>
      <c r="G122" s="84"/>
      <c r="H122" s="84"/>
      <c r="I122" s="84"/>
      <c r="J122" s="84"/>
      <c r="K122" s="84"/>
      <c r="L122" s="84"/>
      <c r="M122" s="84"/>
      <c r="N122" s="90"/>
    </row>
    <row r="123" spans="1:14" ht="13.5" x14ac:dyDescent="0.25">
      <c r="A123" s="83"/>
      <c r="B123" s="84"/>
      <c r="C123" s="85"/>
      <c r="D123" s="85"/>
      <c r="E123" s="86"/>
      <c r="F123" s="87"/>
      <c r="G123" s="84"/>
      <c r="H123" s="84"/>
      <c r="I123" s="84"/>
      <c r="J123" s="84"/>
      <c r="K123" s="84"/>
      <c r="L123" s="84"/>
      <c r="M123" s="84"/>
      <c r="N123" s="90"/>
    </row>
    <row r="124" spans="1:14" ht="13.5" x14ac:dyDescent="0.25">
      <c r="A124" s="83"/>
      <c r="B124" s="84"/>
      <c r="C124" s="85"/>
      <c r="D124" s="85"/>
      <c r="E124" s="86"/>
      <c r="F124" s="87"/>
      <c r="G124" s="84"/>
      <c r="H124" s="84"/>
      <c r="I124" s="84"/>
      <c r="J124" s="84"/>
      <c r="K124" s="84"/>
      <c r="L124" s="84"/>
      <c r="M124" s="84"/>
      <c r="N124" s="90"/>
    </row>
    <row r="125" spans="1:14" ht="13.5" x14ac:dyDescent="0.25">
      <c r="A125" s="83"/>
      <c r="B125" s="84"/>
      <c r="C125" s="85"/>
      <c r="D125" s="85"/>
      <c r="E125" s="86"/>
      <c r="F125" s="87"/>
      <c r="G125" s="84"/>
      <c r="H125" s="84"/>
      <c r="I125" s="84"/>
      <c r="J125" s="84"/>
      <c r="K125" s="84"/>
      <c r="L125" s="84"/>
      <c r="M125" s="84"/>
      <c r="N125" s="90"/>
    </row>
    <row r="126" spans="1:14" ht="13.5" x14ac:dyDescent="0.25">
      <c r="A126" s="83"/>
      <c r="B126" s="84"/>
      <c r="C126" s="85"/>
      <c r="D126" s="85"/>
      <c r="E126" s="86"/>
      <c r="F126" s="87"/>
      <c r="G126" s="84"/>
      <c r="H126" s="84"/>
      <c r="I126" s="84"/>
      <c r="J126" s="84"/>
      <c r="K126" s="84"/>
      <c r="L126" s="84"/>
      <c r="M126" s="84"/>
      <c r="N126" s="90"/>
    </row>
    <row r="127" spans="1:14" ht="13.5" x14ac:dyDescent="0.25">
      <c r="A127" s="83"/>
      <c r="B127" s="84"/>
      <c r="C127" s="85"/>
      <c r="D127" s="85"/>
      <c r="E127" s="86"/>
      <c r="F127" s="87"/>
      <c r="G127" s="84"/>
      <c r="H127" s="84"/>
      <c r="I127" s="84"/>
      <c r="J127" s="84"/>
      <c r="K127" s="84"/>
      <c r="L127" s="84"/>
      <c r="M127" s="84"/>
      <c r="N127" s="90"/>
    </row>
    <row r="128" spans="1:14" ht="13.5" x14ac:dyDescent="0.25">
      <c r="A128" s="83"/>
      <c r="B128" s="84"/>
      <c r="C128" s="85"/>
      <c r="D128" s="85"/>
      <c r="E128" s="86"/>
      <c r="F128" s="87"/>
      <c r="G128" s="84"/>
      <c r="H128" s="84"/>
      <c r="I128" s="84"/>
      <c r="J128" s="84"/>
      <c r="K128" s="84"/>
      <c r="L128" s="84"/>
      <c r="M128" s="84"/>
      <c r="N128" s="90"/>
    </row>
    <row r="129" spans="1:14" ht="13.5" x14ac:dyDescent="0.25">
      <c r="A129" s="83"/>
      <c r="B129" s="84"/>
      <c r="C129" s="85"/>
      <c r="D129" s="85"/>
      <c r="E129" s="86"/>
      <c r="F129" s="87"/>
      <c r="G129" s="84"/>
      <c r="H129" s="84"/>
      <c r="I129" s="84"/>
      <c r="J129" s="84"/>
      <c r="K129" s="84"/>
      <c r="L129" s="84"/>
      <c r="M129" s="84"/>
      <c r="N129" s="90"/>
    </row>
    <row r="130" spans="1:14" ht="13.5" x14ac:dyDescent="0.25">
      <c r="A130" s="83"/>
      <c r="B130" s="84"/>
      <c r="C130" s="85"/>
      <c r="D130" s="85"/>
      <c r="E130" s="86"/>
      <c r="F130" s="87"/>
      <c r="G130" s="84"/>
      <c r="H130" s="84"/>
      <c r="I130" s="84"/>
      <c r="J130" s="84"/>
      <c r="K130" s="84"/>
      <c r="L130" s="84"/>
      <c r="M130" s="84"/>
      <c r="N130" s="90"/>
    </row>
    <row r="131" spans="1:14" ht="13.5" x14ac:dyDescent="0.25">
      <c r="A131" s="83"/>
      <c r="B131" s="84"/>
      <c r="C131" s="85"/>
      <c r="D131" s="85"/>
      <c r="E131" s="86"/>
      <c r="F131" s="87"/>
      <c r="G131" s="84"/>
      <c r="H131" s="84"/>
      <c r="I131" s="84"/>
      <c r="J131" s="84"/>
      <c r="K131" s="84"/>
      <c r="L131" s="84"/>
      <c r="M131" s="84"/>
      <c r="N131" s="90"/>
    </row>
    <row r="132" spans="1:14" ht="13.5" x14ac:dyDescent="0.25">
      <c r="A132" s="83"/>
      <c r="B132" s="84"/>
      <c r="C132" s="85"/>
      <c r="D132" s="85"/>
      <c r="E132" s="86"/>
      <c r="F132" s="87"/>
      <c r="G132" s="84"/>
      <c r="H132" s="84"/>
      <c r="I132" s="84"/>
      <c r="J132" s="84"/>
      <c r="K132" s="84"/>
      <c r="L132" s="84"/>
      <c r="M132" s="84"/>
      <c r="N132" s="90"/>
    </row>
    <row r="133" spans="1:14" ht="13.5" x14ac:dyDescent="0.25">
      <c r="A133" s="83"/>
      <c r="B133" s="84"/>
      <c r="C133" s="85"/>
      <c r="D133" s="85"/>
      <c r="E133" s="86"/>
      <c r="F133" s="87"/>
      <c r="G133" s="84"/>
      <c r="H133" s="84"/>
      <c r="I133" s="84"/>
      <c r="J133" s="84"/>
      <c r="K133" s="84"/>
      <c r="L133" s="84"/>
      <c r="M133" s="84"/>
      <c r="N133" s="90"/>
    </row>
    <row r="134" spans="1:14" ht="13.5" x14ac:dyDescent="0.25">
      <c r="A134" s="83"/>
      <c r="B134" s="84"/>
      <c r="C134" s="85"/>
      <c r="D134" s="85"/>
      <c r="E134" s="86"/>
      <c r="F134" s="87"/>
      <c r="G134" s="84"/>
      <c r="H134" s="84"/>
      <c r="I134" s="84"/>
      <c r="J134" s="84"/>
      <c r="K134" s="84"/>
      <c r="L134" s="84"/>
      <c r="M134" s="84"/>
      <c r="N134" s="90"/>
    </row>
    <row r="135" spans="1:14" ht="13.5" x14ac:dyDescent="0.25">
      <c r="A135" s="83"/>
      <c r="B135" s="84"/>
      <c r="C135" s="85"/>
      <c r="D135" s="85"/>
      <c r="E135" s="86"/>
      <c r="F135" s="87"/>
      <c r="G135" s="84"/>
      <c r="H135" s="84"/>
      <c r="I135" s="84"/>
      <c r="J135" s="84"/>
      <c r="K135" s="84"/>
      <c r="L135" s="84"/>
      <c r="M135" s="84"/>
      <c r="N135" s="90"/>
    </row>
    <row r="136" spans="1:14" ht="13.5" x14ac:dyDescent="0.25">
      <c r="A136" s="83"/>
      <c r="B136" s="84"/>
      <c r="C136" s="85"/>
      <c r="D136" s="85"/>
      <c r="E136" s="86"/>
      <c r="F136" s="87"/>
      <c r="G136" s="84"/>
      <c r="H136" s="84"/>
      <c r="I136" s="84"/>
      <c r="J136" s="84"/>
      <c r="K136" s="84"/>
      <c r="L136" s="84"/>
      <c r="M136" s="84"/>
      <c r="N136" s="90"/>
    </row>
    <row r="137" spans="1:14" ht="13.5" x14ac:dyDescent="0.25">
      <c r="A137" s="83"/>
      <c r="B137" s="84"/>
      <c r="C137" s="85"/>
      <c r="D137" s="85"/>
      <c r="E137" s="86"/>
      <c r="F137" s="87"/>
      <c r="G137" s="84"/>
      <c r="H137" s="84"/>
      <c r="I137" s="84"/>
      <c r="J137" s="84"/>
      <c r="K137" s="84"/>
      <c r="L137" s="84"/>
      <c r="M137" s="84"/>
      <c r="N137" s="90"/>
    </row>
    <row r="138" spans="1:14" ht="13.5" x14ac:dyDescent="0.25">
      <c r="A138" s="83"/>
      <c r="B138" s="84"/>
      <c r="C138" s="85"/>
      <c r="D138" s="85"/>
      <c r="E138" s="86"/>
      <c r="F138" s="87"/>
      <c r="G138" s="84"/>
      <c r="H138" s="84"/>
      <c r="I138" s="84"/>
      <c r="J138" s="84"/>
      <c r="K138" s="84"/>
      <c r="L138" s="84"/>
      <c r="M138" s="84"/>
      <c r="N138" s="90"/>
    </row>
    <row r="139" spans="1:14" ht="13.5" x14ac:dyDescent="0.25">
      <c r="A139" s="83"/>
      <c r="B139" s="84"/>
      <c r="C139" s="85"/>
      <c r="D139" s="85"/>
      <c r="E139" s="86"/>
      <c r="F139" s="87"/>
      <c r="G139" s="84"/>
      <c r="H139" s="84"/>
      <c r="I139" s="84"/>
      <c r="J139" s="84"/>
      <c r="K139" s="84"/>
      <c r="L139" s="84"/>
      <c r="M139" s="84"/>
      <c r="N139" s="90"/>
    </row>
    <row r="140" spans="1:14" ht="13.5" x14ac:dyDescent="0.25">
      <c r="A140" s="83"/>
      <c r="B140" s="84"/>
      <c r="C140" s="85"/>
      <c r="D140" s="85"/>
      <c r="E140" s="86"/>
      <c r="F140" s="87"/>
      <c r="G140" s="84"/>
      <c r="H140" s="84"/>
      <c r="I140" s="84"/>
      <c r="J140" s="84"/>
      <c r="K140" s="84"/>
      <c r="L140" s="84"/>
      <c r="M140" s="84"/>
      <c r="N140" s="90"/>
    </row>
    <row r="141" spans="1:14" ht="13.5" x14ac:dyDescent="0.25">
      <c r="A141" s="83"/>
      <c r="B141" s="84"/>
      <c r="C141" s="85"/>
      <c r="D141" s="85"/>
      <c r="E141" s="86"/>
      <c r="F141" s="87"/>
      <c r="G141" s="84"/>
      <c r="H141" s="84"/>
      <c r="I141" s="84"/>
      <c r="J141" s="84"/>
      <c r="K141" s="84"/>
      <c r="L141" s="84"/>
      <c r="M141" s="84"/>
      <c r="N141" s="90"/>
    </row>
    <row r="142" spans="1:14" ht="13.5" x14ac:dyDescent="0.25">
      <c r="A142" s="83"/>
      <c r="B142" s="84"/>
      <c r="C142" s="85"/>
      <c r="D142" s="85"/>
      <c r="E142" s="86"/>
      <c r="F142" s="87"/>
      <c r="G142" s="84"/>
      <c r="H142" s="84"/>
      <c r="I142" s="84"/>
      <c r="J142" s="84"/>
      <c r="K142" s="84"/>
      <c r="L142" s="84"/>
      <c r="M142" s="84"/>
      <c r="N142" s="90"/>
    </row>
    <row r="143" spans="1:14" ht="13.5" x14ac:dyDescent="0.25">
      <c r="A143" s="83"/>
      <c r="B143" s="84"/>
      <c r="C143" s="85"/>
      <c r="D143" s="85"/>
      <c r="E143" s="86"/>
      <c r="F143" s="87"/>
      <c r="G143" s="84"/>
      <c r="H143" s="84"/>
      <c r="I143" s="84"/>
      <c r="J143" s="84"/>
      <c r="K143" s="84"/>
      <c r="L143" s="84"/>
      <c r="M143" s="84"/>
      <c r="N143" s="90"/>
    </row>
    <row r="144" spans="1:14" ht="13.5" x14ac:dyDescent="0.25">
      <c r="A144" s="83"/>
      <c r="B144" s="84"/>
      <c r="C144" s="85"/>
      <c r="D144" s="85"/>
      <c r="E144" s="86"/>
      <c r="F144" s="87"/>
      <c r="G144" s="84"/>
      <c r="H144" s="84"/>
      <c r="I144" s="84"/>
      <c r="J144" s="84"/>
      <c r="K144" s="84"/>
      <c r="L144" s="84"/>
      <c r="M144" s="84"/>
      <c r="N144" s="90"/>
    </row>
    <row r="145" spans="1:14" ht="13.5" x14ac:dyDescent="0.25">
      <c r="A145" s="83"/>
      <c r="B145" s="84"/>
      <c r="C145" s="85"/>
      <c r="D145" s="85"/>
      <c r="E145" s="86"/>
      <c r="F145" s="87"/>
      <c r="G145" s="84"/>
      <c r="H145" s="84"/>
      <c r="I145" s="84"/>
      <c r="J145" s="84"/>
      <c r="K145" s="84"/>
      <c r="L145" s="84"/>
      <c r="M145" s="84"/>
      <c r="N145" s="90"/>
    </row>
    <row r="146" spans="1:14" ht="13.5" x14ac:dyDescent="0.25">
      <c r="A146" s="83"/>
      <c r="B146" s="84"/>
      <c r="C146" s="85"/>
      <c r="D146" s="85"/>
      <c r="E146" s="86"/>
      <c r="F146" s="87"/>
      <c r="G146" s="84"/>
      <c r="H146" s="84"/>
      <c r="I146" s="84"/>
      <c r="J146" s="84"/>
      <c r="K146" s="84"/>
      <c r="L146" s="84"/>
      <c r="M146" s="84"/>
      <c r="N146" s="90"/>
    </row>
    <row r="147" spans="1:14" ht="13.5" x14ac:dyDescent="0.25">
      <c r="A147" s="83"/>
      <c r="B147" s="84"/>
      <c r="C147" s="85"/>
      <c r="D147" s="85"/>
      <c r="E147" s="86"/>
      <c r="F147" s="87"/>
      <c r="G147" s="84"/>
      <c r="H147" s="84"/>
      <c r="I147" s="84"/>
      <c r="J147" s="84"/>
      <c r="K147" s="84"/>
      <c r="L147" s="84"/>
      <c r="M147" s="84"/>
      <c r="N147" s="90"/>
    </row>
    <row r="148" spans="1:14" ht="14.25" thickBot="1" x14ac:dyDescent="0.3">
      <c r="A148" s="96"/>
      <c r="B148" s="97"/>
      <c r="C148" s="98"/>
      <c r="D148" s="98"/>
      <c r="E148" s="99"/>
      <c r="F148" s="100"/>
      <c r="G148" s="97"/>
      <c r="H148" s="97"/>
      <c r="I148" s="97"/>
      <c r="J148" s="97"/>
      <c r="K148" s="97"/>
      <c r="L148" s="97"/>
      <c r="M148" s="97"/>
      <c r="N148" s="101"/>
    </row>
    <row r="149" spans="1:14" ht="13.5" x14ac:dyDescent="0.25">
      <c r="A149" s="102"/>
      <c r="B149" s="84"/>
      <c r="C149" s="112"/>
      <c r="D149" s="103"/>
      <c r="E149" s="104"/>
      <c r="F149" s="105"/>
      <c r="G149" s="84"/>
      <c r="H149" s="84"/>
      <c r="I149" s="84"/>
      <c r="J149" s="84"/>
      <c r="K149" s="84"/>
      <c r="L149" s="84"/>
      <c r="M149" s="84"/>
      <c r="N149" s="84"/>
    </row>
    <row r="150" spans="1:14" ht="13.5" x14ac:dyDescent="0.25">
      <c r="A150" s="102"/>
      <c r="B150" s="84"/>
      <c r="C150" s="103"/>
      <c r="D150" s="103"/>
      <c r="E150" s="104"/>
      <c r="F150" s="105"/>
      <c r="G150" s="84"/>
      <c r="H150" s="84"/>
      <c r="I150" s="84"/>
      <c r="J150" s="84"/>
      <c r="K150" s="84"/>
      <c r="L150" s="84"/>
      <c r="M150" s="84"/>
      <c r="N150" s="84"/>
    </row>
    <row r="151" spans="1:14" ht="13.5" x14ac:dyDescent="0.25">
      <c r="A151" s="102"/>
      <c r="B151" s="84"/>
      <c r="C151" s="103"/>
      <c r="D151" s="103"/>
      <c r="E151" s="104"/>
      <c r="F151" s="105"/>
      <c r="G151" s="84"/>
      <c r="H151" s="84"/>
      <c r="I151" s="84"/>
      <c r="J151" s="84"/>
      <c r="K151" s="84"/>
      <c r="L151" s="84"/>
      <c r="M151" s="84"/>
      <c r="N151" s="84"/>
    </row>
    <row r="152" spans="1:14" ht="13.5" x14ac:dyDescent="0.25">
      <c r="A152" s="102"/>
      <c r="B152" s="84"/>
      <c r="C152" s="103"/>
      <c r="D152" s="103"/>
      <c r="E152" s="104"/>
      <c r="F152" s="105"/>
      <c r="G152" s="84"/>
      <c r="H152" s="84"/>
      <c r="I152" s="84"/>
      <c r="J152" s="84"/>
      <c r="K152" s="84"/>
      <c r="L152" s="84"/>
      <c r="M152" s="84"/>
      <c r="N152" s="84"/>
    </row>
    <row r="153" spans="1:14" ht="13.5" x14ac:dyDescent="0.25">
      <c r="A153" s="102"/>
      <c r="B153" s="84"/>
      <c r="C153" s="103"/>
      <c r="D153" s="103"/>
      <c r="E153" s="104"/>
      <c r="F153" s="105"/>
      <c r="G153" s="84"/>
      <c r="H153" s="84"/>
      <c r="I153" s="84"/>
      <c r="J153" s="84"/>
      <c r="K153" s="84"/>
      <c r="L153" s="84"/>
      <c r="M153" s="84"/>
      <c r="N153" s="84"/>
    </row>
    <row r="154" spans="1:14" ht="13.5" x14ac:dyDescent="0.25">
      <c r="A154" s="102"/>
      <c r="B154" s="84"/>
      <c r="C154" s="103"/>
      <c r="D154" s="103"/>
      <c r="E154" s="104"/>
      <c r="F154" s="105"/>
      <c r="G154" s="84"/>
      <c r="H154" s="84"/>
      <c r="I154" s="84"/>
      <c r="J154" s="84"/>
      <c r="K154" s="84"/>
      <c r="L154" s="84"/>
      <c r="M154" s="84"/>
      <c r="N154" s="84"/>
    </row>
    <row r="155" spans="1:14" ht="13.5" x14ac:dyDescent="0.25">
      <c r="A155" s="102"/>
      <c r="B155" s="84"/>
      <c r="C155" s="103"/>
      <c r="D155" s="103"/>
      <c r="E155" s="104"/>
      <c r="F155" s="105"/>
      <c r="G155" s="84"/>
      <c r="H155" s="84"/>
      <c r="I155" s="84"/>
      <c r="J155" s="84"/>
      <c r="K155" s="84"/>
      <c r="L155" s="84"/>
      <c r="M155" s="84"/>
      <c r="N155" s="84"/>
    </row>
    <row r="156" spans="1:14" ht="13.5" x14ac:dyDescent="0.25">
      <c r="A156" s="102"/>
      <c r="B156" s="84"/>
      <c r="C156" s="103"/>
      <c r="D156" s="103"/>
      <c r="E156" s="104"/>
      <c r="F156" s="105"/>
      <c r="G156" s="84"/>
      <c r="H156" s="84"/>
      <c r="I156" s="84"/>
      <c r="J156" s="84"/>
      <c r="K156" s="84"/>
      <c r="L156" s="84"/>
      <c r="M156" s="84"/>
      <c r="N156" s="84"/>
    </row>
    <row r="157" spans="1:14" ht="13.5" x14ac:dyDescent="0.25">
      <c r="A157" s="102"/>
      <c r="B157" s="84"/>
      <c r="C157" s="103"/>
      <c r="D157" s="103"/>
      <c r="E157" s="104"/>
      <c r="F157" s="105"/>
      <c r="G157" s="84"/>
      <c r="H157" s="84"/>
      <c r="I157" s="84"/>
      <c r="J157" s="84"/>
      <c r="K157" s="84"/>
      <c r="L157" s="84"/>
      <c r="M157" s="84"/>
      <c r="N157" s="84"/>
    </row>
    <row r="158" spans="1:14" ht="13.5" x14ac:dyDescent="0.25">
      <c r="A158" s="102"/>
      <c r="B158" s="84"/>
      <c r="C158" s="103"/>
      <c r="D158" s="103"/>
      <c r="E158" s="104"/>
      <c r="F158" s="105"/>
      <c r="G158" s="84"/>
      <c r="H158" s="84"/>
      <c r="I158" s="84"/>
      <c r="J158" s="84"/>
      <c r="K158" s="84"/>
      <c r="L158" s="84"/>
      <c r="M158" s="84"/>
      <c r="N158" s="84"/>
    </row>
    <row r="159" spans="1:14" ht="13.5" x14ac:dyDescent="0.25">
      <c r="A159" s="102"/>
      <c r="B159" s="84"/>
      <c r="C159" s="103"/>
      <c r="D159" s="103"/>
      <c r="E159" s="104"/>
      <c r="F159" s="105"/>
      <c r="G159" s="84"/>
      <c r="H159" s="84"/>
      <c r="I159" s="84"/>
      <c r="J159" s="84"/>
      <c r="K159" s="84"/>
      <c r="L159" s="84"/>
      <c r="M159" s="84"/>
      <c r="N159" s="84"/>
    </row>
    <row r="160" spans="1:14" ht="13.5" x14ac:dyDescent="0.25">
      <c r="A160" s="102"/>
      <c r="B160" s="84"/>
      <c r="C160" s="103"/>
      <c r="D160" s="103"/>
      <c r="E160" s="104"/>
      <c r="F160" s="105"/>
      <c r="G160" s="84"/>
      <c r="H160" s="84"/>
      <c r="I160" s="84"/>
      <c r="J160" s="84"/>
      <c r="K160" s="84"/>
      <c r="L160" s="84"/>
      <c r="M160" s="84"/>
      <c r="N160" s="84"/>
    </row>
    <row r="161" spans="1:14" ht="13.5" x14ac:dyDescent="0.25">
      <c r="A161" s="102"/>
      <c r="B161" s="84"/>
      <c r="C161" s="103"/>
      <c r="D161" s="103"/>
      <c r="E161" s="104"/>
      <c r="F161" s="105"/>
      <c r="G161" s="84"/>
      <c r="H161" s="84"/>
      <c r="I161" s="84"/>
      <c r="J161" s="84"/>
      <c r="K161" s="84"/>
      <c r="L161" s="84"/>
      <c r="M161" s="84"/>
      <c r="N161" s="84"/>
    </row>
    <row r="162" spans="1:14" ht="13.5" x14ac:dyDescent="0.25">
      <c r="A162" s="102"/>
      <c r="B162" s="84"/>
      <c r="C162" s="103"/>
      <c r="D162" s="103"/>
      <c r="E162" s="104"/>
      <c r="F162" s="105"/>
      <c r="G162" s="84"/>
      <c r="H162" s="84"/>
      <c r="I162" s="84"/>
      <c r="J162" s="84"/>
      <c r="K162" s="84"/>
      <c r="L162" s="84"/>
      <c r="M162" s="84"/>
      <c r="N162" s="84"/>
    </row>
    <row r="163" spans="1:14" ht="13.5" x14ac:dyDescent="0.25">
      <c r="A163" s="102"/>
      <c r="B163" s="84"/>
      <c r="C163" s="103"/>
      <c r="D163" s="103"/>
      <c r="E163" s="104"/>
      <c r="F163" s="105"/>
      <c r="G163" s="84"/>
      <c r="H163" s="84"/>
      <c r="I163" s="84"/>
      <c r="J163" s="84"/>
      <c r="K163" s="84"/>
      <c r="L163" s="84"/>
      <c r="M163" s="84"/>
      <c r="N163" s="84"/>
    </row>
    <row r="164" spans="1:14" ht="13.5" x14ac:dyDescent="0.25">
      <c r="A164" s="102"/>
      <c r="B164" s="84"/>
      <c r="C164" s="103"/>
      <c r="D164" s="103"/>
      <c r="E164" s="104"/>
      <c r="F164" s="105"/>
      <c r="G164" s="84"/>
      <c r="H164" s="84"/>
      <c r="I164" s="84"/>
      <c r="J164" s="84"/>
      <c r="K164" s="84"/>
      <c r="L164" s="84"/>
      <c r="M164" s="84"/>
      <c r="N164" s="84"/>
    </row>
    <row r="165" spans="1:14" ht="13.5" x14ac:dyDescent="0.25">
      <c r="A165" s="102"/>
      <c r="B165" s="84"/>
      <c r="C165" s="103"/>
      <c r="D165" s="103"/>
      <c r="E165" s="104"/>
      <c r="F165" s="105"/>
      <c r="G165" s="84"/>
      <c r="H165" s="84"/>
      <c r="I165" s="84"/>
      <c r="J165" s="84"/>
      <c r="K165" s="84"/>
      <c r="L165" s="84"/>
      <c r="M165" s="84"/>
      <c r="N165" s="84"/>
    </row>
    <row r="166" spans="1:14" ht="13.5" x14ac:dyDescent="0.25">
      <c r="A166" s="102"/>
      <c r="B166" s="84"/>
      <c r="C166" s="103"/>
      <c r="D166" s="103"/>
      <c r="E166" s="104"/>
      <c r="F166" s="105"/>
      <c r="G166" s="84"/>
      <c r="H166" s="84"/>
      <c r="I166" s="84"/>
      <c r="J166" s="84"/>
      <c r="K166" s="84"/>
      <c r="L166" s="84"/>
      <c r="M166" s="84"/>
      <c r="N166" s="84"/>
    </row>
    <row r="167" spans="1:14" ht="13.5" x14ac:dyDescent="0.25">
      <c r="A167" s="102"/>
      <c r="B167" s="84"/>
      <c r="C167" s="103"/>
      <c r="D167" s="103"/>
      <c r="E167" s="104"/>
      <c r="F167" s="105"/>
      <c r="G167" s="84"/>
      <c r="H167" s="84"/>
      <c r="I167" s="84"/>
      <c r="J167" s="84"/>
      <c r="K167" s="84"/>
      <c r="L167" s="84"/>
      <c r="M167" s="84"/>
      <c r="N167" s="84"/>
    </row>
    <row r="168" spans="1:14" ht="13.5" x14ac:dyDescent="0.25">
      <c r="A168" s="102"/>
      <c r="B168" s="84"/>
      <c r="C168" s="103"/>
      <c r="D168" s="103"/>
      <c r="E168" s="104"/>
      <c r="F168" s="105"/>
      <c r="G168" s="84"/>
      <c r="H168" s="84"/>
      <c r="I168" s="84"/>
      <c r="J168" s="84"/>
      <c r="K168" s="84"/>
      <c r="L168" s="84"/>
      <c r="M168" s="84"/>
      <c r="N168" s="84"/>
    </row>
    <row r="169" spans="1:14" ht="13.5" x14ac:dyDescent="0.25">
      <c r="A169" s="102"/>
      <c r="B169" s="84"/>
      <c r="C169" s="103"/>
      <c r="D169" s="103"/>
      <c r="E169" s="104"/>
      <c r="F169" s="105"/>
      <c r="G169" s="84"/>
      <c r="H169" s="84"/>
      <c r="I169" s="84"/>
      <c r="J169" s="84"/>
      <c r="K169" s="84"/>
      <c r="L169" s="84"/>
      <c r="M169" s="84"/>
      <c r="N169" s="84"/>
    </row>
    <row r="170" spans="1:14" ht="13.5" x14ac:dyDescent="0.25">
      <c r="A170" s="102"/>
      <c r="B170" s="84"/>
      <c r="C170" s="103"/>
      <c r="D170" s="103"/>
      <c r="E170" s="104"/>
      <c r="F170" s="105"/>
      <c r="G170" s="84"/>
      <c r="H170" s="84"/>
      <c r="I170" s="84"/>
      <c r="J170" s="84"/>
      <c r="K170" s="84"/>
      <c r="L170" s="84"/>
      <c r="M170" s="84"/>
      <c r="N170" s="84"/>
    </row>
    <row r="171" spans="1:14" ht="13.5" x14ac:dyDescent="0.25">
      <c r="A171" s="102"/>
      <c r="B171" s="84"/>
      <c r="C171" s="103"/>
      <c r="D171" s="103"/>
      <c r="E171" s="104"/>
      <c r="F171" s="105"/>
      <c r="G171" s="84"/>
      <c r="H171" s="84"/>
      <c r="I171" s="84"/>
      <c r="J171" s="84"/>
      <c r="K171" s="84"/>
      <c r="L171" s="84"/>
      <c r="M171" s="84"/>
      <c r="N171" s="84"/>
    </row>
    <row r="172" spans="1:14" ht="13.5" x14ac:dyDescent="0.25">
      <c r="A172" s="102"/>
      <c r="B172" s="84"/>
      <c r="C172" s="103"/>
      <c r="D172" s="103"/>
      <c r="E172" s="104"/>
      <c r="F172" s="105"/>
      <c r="G172" s="84"/>
      <c r="H172" s="84"/>
      <c r="I172" s="84"/>
      <c r="J172" s="84"/>
      <c r="K172" s="84"/>
      <c r="L172" s="84"/>
      <c r="M172" s="84"/>
      <c r="N172" s="84"/>
    </row>
  </sheetData>
  <mergeCells count="62">
    <mergeCell ref="E7:F7"/>
    <mergeCell ref="G7:H7"/>
    <mergeCell ref="A1:E1"/>
    <mergeCell ref="A2:E2"/>
    <mergeCell ref="A3:E3"/>
    <mergeCell ref="A5:D5"/>
    <mergeCell ref="E5:F5"/>
    <mergeCell ref="A6:B6"/>
    <mergeCell ref="G6:H6"/>
    <mergeCell ref="A106:E106"/>
    <mergeCell ref="A107:E107"/>
    <mergeCell ref="E67:F67"/>
    <mergeCell ref="D9:D10"/>
    <mergeCell ref="E9:E10"/>
    <mergeCell ref="F9:F10"/>
    <mergeCell ref="A62:E62"/>
    <mergeCell ref="A63:E63"/>
    <mergeCell ref="E64:F64"/>
    <mergeCell ref="E65:F65"/>
    <mergeCell ref="A66:B66"/>
    <mergeCell ref="E66:F66"/>
    <mergeCell ref="A65:D65"/>
    <mergeCell ref="A110:D110"/>
    <mergeCell ref="E112:F112"/>
    <mergeCell ref="G112:H112"/>
    <mergeCell ref="A108:E108"/>
    <mergeCell ref="E110:F110"/>
    <mergeCell ref="A111:B111"/>
    <mergeCell ref="G111:H111"/>
    <mergeCell ref="M9:N9"/>
    <mergeCell ref="A9:A10"/>
    <mergeCell ref="B9:B10"/>
    <mergeCell ref="C9:C10"/>
    <mergeCell ref="G67:H67"/>
    <mergeCell ref="I9:J9"/>
    <mergeCell ref="I28:J28"/>
    <mergeCell ref="K9:L9"/>
    <mergeCell ref="K28:L28"/>
    <mergeCell ref="J66:K66"/>
    <mergeCell ref="J6:K6"/>
    <mergeCell ref="J7:K7"/>
    <mergeCell ref="M7:N7"/>
    <mergeCell ref="M6:N6"/>
    <mergeCell ref="G66:H66"/>
    <mergeCell ref="A8:N8"/>
    <mergeCell ref="G28:H28"/>
    <mergeCell ref="M28:N28"/>
    <mergeCell ref="A28:A29"/>
    <mergeCell ref="B28:B29"/>
    <mergeCell ref="C28:C29"/>
    <mergeCell ref="D28:D29"/>
    <mergeCell ref="E28:E29"/>
    <mergeCell ref="F28:F29"/>
    <mergeCell ref="G9:H9"/>
    <mergeCell ref="A61:E61"/>
    <mergeCell ref="M112:N112"/>
    <mergeCell ref="M66:N66"/>
    <mergeCell ref="J67:K67"/>
    <mergeCell ref="M67:N67"/>
    <mergeCell ref="J111:K111"/>
    <mergeCell ref="M111:N111"/>
    <mergeCell ref="J112:K112"/>
  </mergeCells>
  <conditionalFormatting sqref="P35">
    <cfRule type="cellIs" dxfId="2" priority="2" stopIfTrue="1" operator="equal">
      <formula>0</formula>
    </cfRule>
    <cfRule type="cellIs" dxfId="1" priority="3" stopIfTrue="1" operator="notEqual">
      <formula>0</formula>
    </cfRule>
  </conditionalFormatting>
  <printOptions horizontalCentered="1" verticalCentered="1"/>
  <pageMargins left="0.39370078740157483" right="0.39370078740157483" top="0.39370078740157483" bottom="0.39370078740157483" header="0.51181102362204722" footer="0.11811023622047245"/>
  <pageSetup paperSize="9" scale="52" fitToWidth="0" orientation="landscape" horizontalDpi="4294967295" verticalDpi="4294967295" r:id="rId1"/>
  <headerFooter alignWithMargins="0"/>
  <rowBreaks count="2" manualBreakCount="2">
    <brk id="59" max="9" man="1"/>
    <brk id="104" max="9" man="1"/>
  </rowBreaks>
  <ignoredErrors>
    <ignoredError sqref="D34 G32:M34 K27:N29 H30:N30 M26 K26 J14 I26 I25:L25 J15 L15 J23 L14 J16:J22 L16:L22 L23" formula="1"/>
    <ignoredError sqref="A3:L4 A6:L6 A5:H5 J5:L5 A7:F7 H7:L7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63"/>
  <sheetViews>
    <sheetView zoomScaleNormal="100" zoomScaleSheetLayoutView="100" workbookViewId="0">
      <selection activeCell="K6" sqref="K6:L6"/>
    </sheetView>
  </sheetViews>
  <sheetFormatPr defaultColWidth="9.140625" defaultRowHeight="12.75" x14ac:dyDescent="0.2"/>
  <cols>
    <col min="1" max="1" width="9.140625" style="48"/>
    <col min="2" max="2" width="2.5703125" style="48" customWidth="1"/>
    <col min="3" max="4" width="9.140625" style="48"/>
    <col min="5" max="6" width="5.42578125" style="48" customWidth="1"/>
    <col min="7" max="7" width="4.5703125" style="48" customWidth="1"/>
    <col min="8" max="8" width="4.7109375" style="48" customWidth="1"/>
    <col min="9" max="9" width="5.140625" style="48" customWidth="1"/>
    <col min="10" max="10" width="10" style="48" customWidth="1"/>
    <col min="11" max="11" width="14.5703125" style="48" customWidth="1"/>
    <col min="12" max="12" width="10" style="48" customWidth="1"/>
    <col min="13" max="13" width="13.42578125" style="48" customWidth="1"/>
    <col min="14" max="16384" width="9.140625" style="48"/>
  </cols>
  <sheetData>
    <row r="1" spans="1:16" ht="20.25" x14ac:dyDescent="0.3">
      <c r="A1" s="692" t="s">
        <v>12</v>
      </c>
      <c r="B1" s="693"/>
      <c r="C1" s="693"/>
      <c r="D1" s="693"/>
      <c r="E1" s="693"/>
      <c r="F1" s="693"/>
      <c r="G1" s="693"/>
      <c r="H1" s="693"/>
      <c r="I1" s="693"/>
      <c r="J1" s="693"/>
      <c r="K1" s="693"/>
      <c r="L1" s="693"/>
      <c r="M1" s="43"/>
    </row>
    <row r="2" spans="1:16" ht="18" x14ac:dyDescent="0.25">
      <c r="A2" s="694" t="s">
        <v>146</v>
      </c>
      <c r="B2" s="695"/>
      <c r="C2" s="695"/>
      <c r="D2" s="695"/>
      <c r="E2" s="695"/>
      <c r="F2" s="695"/>
      <c r="G2" s="695"/>
      <c r="H2" s="695"/>
      <c r="I2" s="695"/>
      <c r="J2" s="695"/>
      <c r="K2" s="695"/>
      <c r="L2" s="695"/>
      <c r="M2" s="44"/>
    </row>
    <row r="3" spans="1:16" ht="15.75" x14ac:dyDescent="0.25">
      <c r="A3" s="696" t="s">
        <v>328</v>
      </c>
      <c r="B3" s="697"/>
      <c r="C3" s="697"/>
      <c r="D3" s="697"/>
      <c r="E3" s="697"/>
      <c r="F3" s="697"/>
      <c r="G3" s="697"/>
      <c r="H3" s="697"/>
      <c r="I3" s="697"/>
      <c r="J3" s="697"/>
      <c r="K3" s="697"/>
      <c r="L3" s="697"/>
      <c r="M3" s="44"/>
    </row>
    <row r="4" spans="1:16" ht="14.25" x14ac:dyDescent="0.2">
      <c r="A4" s="23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44"/>
    </row>
    <row r="5" spans="1:16" ht="15" x14ac:dyDescent="0.2">
      <c r="A5" s="53" t="s">
        <v>6</v>
      </c>
      <c r="B5" s="54"/>
      <c r="C5" s="26"/>
      <c r="D5" s="24"/>
      <c r="E5" s="24"/>
      <c r="F5" s="24"/>
      <c r="G5" s="24"/>
      <c r="H5" s="24"/>
      <c r="I5" s="24"/>
      <c r="J5" s="24"/>
      <c r="K5" s="24" t="s">
        <v>8</v>
      </c>
      <c r="L5" s="24"/>
      <c r="M5" s="44"/>
    </row>
    <row r="6" spans="1:16" ht="43.5" customHeight="1" x14ac:dyDescent="0.25">
      <c r="A6" s="737" t="str">
        <f>SERVIÇOS!A5</f>
        <v>Conclusão da obra da FÁRMACIA UNIVERSITÁRIA.</v>
      </c>
      <c r="B6" s="738"/>
      <c r="C6" s="738"/>
      <c r="D6" s="738"/>
      <c r="E6" s="738"/>
      <c r="F6" s="738"/>
      <c r="G6" s="738"/>
      <c r="H6" s="738"/>
      <c r="I6" s="738"/>
      <c r="J6" s="738"/>
      <c r="K6" s="673" t="s">
        <v>680</v>
      </c>
      <c r="L6" s="673"/>
      <c r="M6" s="44"/>
    </row>
    <row r="7" spans="1:16" ht="15.75" customHeight="1" x14ac:dyDescent="0.25">
      <c r="A7" s="680" t="s">
        <v>7</v>
      </c>
      <c r="B7" s="681"/>
      <c r="C7" s="681"/>
      <c r="D7" s="24"/>
      <c r="E7" s="24"/>
      <c r="F7" s="24"/>
      <c r="G7" s="24"/>
      <c r="H7" s="24"/>
      <c r="I7" s="24"/>
      <c r="J7" s="24"/>
      <c r="K7" s="24" t="s">
        <v>10</v>
      </c>
      <c r="L7" s="49"/>
      <c r="M7" s="58" t="s">
        <v>142</v>
      </c>
    </row>
    <row r="8" spans="1:16" ht="15.75" thickBot="1" x14ac:dyDescent="0.25">
      <c r="A8" s="735" t="str">
        <f>SERVIÇOS!A7</f>
        <v>Campus Universitário de Ondina - Salvador - Bahia</v>
      </c>
      <c r="B8" s="736"/>
      <c r="C8" s="736"/>
      <c r="D8" s="736"/>
      <c r="E8" s="736"/>
      <c r="F8" s="736"/>
      <c r="G8" s="736"/>
      <c r="H8" s="736"/>
      <c r="I8" s="736"/>
      <c r="J8" s="736"/>
      <c r="K8" s="198">
        <f>SERVIÇOS!E7</f>
        <v>274.14999999999998</v>
      </c>
      <c r="L8" s="199"/>
      <c r="M8" s="59">
        <f ca="1">NOW()</f>
        <v>45902.492755092593</v>
      </c>
    </row>
    <row r="9" spans="1:16" ht="14.25" thickTop="1" thickBot="1" x14ac:dyDescent="0.25"/>
    <row r="10" spans="1:16" ht="40.5" customHeight="1" thickBot="1" x14ac:dyDescent="0.4">
      <c r="A10" s="744" t="s">
        <v>145</v>
      </c>
      <c r="B10" s="745"/>
      <c r="C10" s="745"/>
      <c r="D10" s="745"/>
      <c r="E10" s="745"/>
      <c r="F10" s="745"/>
      <c r="G10" s="745"/>
      <c r="H10" s="745"/>
      <c r="I10" s="745"/>
      <c r="J10" s="745"/>
      <c r="K10" s="745"/>
      <c r="L10" s="745"/>
      <c r="M10" s="746"/>
      <c r="N10" s="200"/>
      <c r="O10" s="200"/>
      <c r="P10" s="200"/>
    </row>
    <row r="11" spans="1:16" ht="16.5" thickBot="1" x14ac:dyDescent="0.3">
      <c r="A11" s="741" t="s">
        <v>432</v>
      </c>
      <c r="B11" s="742"/>
      <c r="C11" s="742"/>
      <c r="D11" s="742"/>
      <c r="E11" s="742"/>
      <c r="F11" s="742"/>
      <c r="G11" s="742"/>
      <c r="H11" s="742"/>
      <c r="I11" s="742"/>
      <c r="J11" s="742"/>
      <c r="K11" s="742"/>
      <c r="L11" s="742"/>
      <c r="M11" s="743"/>
    </row>
    <row r="12" spans="1:16" ht="13.5" customHeight="1" thickBot="1" x14ac:dyDescent="0.25">
      <c r="A12" s="747" t="s">
        <v>28</v>
      </c>
      <c r="B12" s="748"/>
      <c r="C12" s="753" t="s">
        <v>3</v>
      </c>
      <c r="D12" s="754"/>
      <c r="E12" s="754"/>
      <c r="F12" s="754"/>
      <c r="G12" s="754"/>
      <c r="H12" s="754"/>
      <c r="I12" s="755"/>
      <c r="J12" s="762" t="s">
        <v>29</v>
      </c>
      <c r="K12" s="763"/>
      <c r="L12" s="762" t="s">
        <v>30</v>
      </c>
      <c r="M12" s="763"/>
    </row>
    <row r="13" spans="1:16" ht="12.75" customHeight="1" x14ac:dyDescent="0.2">
      <c r="A13" s="749"/>
      <c r="B13" s="750"/>
      <c r="C13" s="756"/>
      <c r="D13" s="757"/>
      <c r="E13" s="757"/>
      <c r="F13" s="757"/>
      <c r="G13" s="757"/>
      <c r="H13" s="757"/>
      <c r="I13" s="758"/>
      <c r="J13" s="739" t="s">
        <v>31</v>
      </c>
      <c r="K13" s="739" t="s">
        <v>32</v>
      </c>
      <c r="L13" s="739" t="s">
        <v>31</v>
      </c>
      <c r="M13" s="739" t="s">
        <v>32</v>
      </c>
    </row>
    <row r="14" spans="1:16" ht="13.5" customHeight="1" thickBot="1" x14ac:dyDescent="0.25">
      <c r="A14" s="751"/>
      <c r="B14" s="752"/>
      <c r="C14" s="759"/>
      <c r="D14" s="760"/>
      <c r="E14" s="760"/>
      <c r="F14" s="760"/>
      <c r="G14" s="760"/>
      <c r="H14" s="760"/>
      <c r="I14" s="761"/>
      <c r="J14" s="740"/>
      <c r="K14" s="740"/>
      <c r="L14" s="740"/>
      <c r="M14" s="740"/>
    </row>
    <row r="15" spans="1:16" ht="16.5" thickBot="1" x14ac:dyDescent="0.3">
      <c r="A15" s="741" t="s">
        <v>33</v>
      </c>
      <c r="B15" s="742"/>
      <c r="C15" s="742"/>
      <c r="D15" s="742"/>
      <c r="E15" s="742"/>
      <c r="F15" s="742"/>
      <c r="G15" s="742"/>
      <c r="H15" s="742"/>
      <c r="I15" s="742"/>
      <c r="J15" s="742"/>
      <c r="K15" s="742"/>
      <c r="L15" s="742"/>
      <c r="M15" s="743"/>
    </row>
    <row r="16" spans="1:16" x14ac:dyDescent="0.2">
      <c r="A16" s="764" t="s">
        <v>34</v>
      </c>
      <c r="B16" s="765"/>
      <c r="C16" s="766" t="s">
        <v>35</v>
      </c>
      <c r="D16" s="767"/>
      <c r="E16" s="767"/>
      <c r="F16" s="767"/>
      <c r="G16" s="767"/>
      <c r="H16" s="767"/>
      <c r="I16" s="768"/>
      <c r="J16" s="188">
        <v>5</v>
      </c>
      <c r="K16" s="188">
        <v>5</v>
      </c>
      <c r="L16" s="188">
        <v>20</v>
      </c>
      <c r="M16" s="188">
        <v>20</v>
      </c>
      <c r="N16" s="157"/>
    </row>
    <row r="17" spans="1:14" x14ac:dyDescent="0.2">
      <c r="A17" s="769" t="s">
        <v>36</v>
      </c>
      <c r="B17" s="770"/>
      <c r="C17" s="771" t="s">
        <v>37</v>
      </c>
      <c r="D17" s="772"/>
      <c r="E17" s="772"/>
      <c r="F17" s="772"/>
      <c r="G17" s="772"/>
      <c r="H17" s="772"/>
      <c r="I17" s="773"/>
      <c r="J17" s="188">
        <v>1.5</v>
      </c>
      <c r="K17" s="188">
        <v>1.5</v>
      </c>
      <c r="L17" s="188">
        <v>1.5</v>
      </c>
      <c r="M17" s="188">
        <v>1.5</v>
      </c>
      <c r="N17" s="157"/>
    </row>
    <row r="18" spans="1:14" x14ac:dyDescent="0.2">
      <c r="A18" s="769" t="s">
        <v>38</v>
      </c>
      <c r="B18" s="770"/>
      <c r="C18" s="771" t="s">
        <v>39</v>
      </c>
      <c r="D18" s="772"/>
      <c r="E18" s="772"/>
      <c r="F18" s="772"/>
      <c r="G18" s="772"/>
      <c r="H18" s="772"/>
      <c r="I18" s="773"/>
      <c r="J18" s="188">
        <v>1</v>
      </c>
      <c r="K18" s="188">
        <v>1</v>
      </c>
      <c r="L18" s="188">
        <v>1</v>
      </c>
      <c r="M18" s="188">
        <v>1</v>
      </c>
      <c r="N18" s="157"/>
    </row>
    <row r="19" spans="1:14" x14ac:dyDescent="0.2">
      <c r="A19" s="769" t="s">
        <v>40</v>
      </c>
      <c r="B19" s="770"/>
      <c r="C19" s="771" t="s">
        <v>41</v>
      </c>
      <c r="D19" s="772"/>
      <c r="E19" s="772"/>
      <c r="F19" s="772"/>
      <c r="G19" s="772"/>
      <c r="H19" s="772"/>
      <c r="I19" s="773"/>
      <c r="J19" s="188">
        <v>0.2</v>
      </c>
      <c r="K19" s="188">
        <v>0.2</v>
      </c>
      <c r="L19" s="188">
        <v>0.2</v>
      </c>
      <c r="M19" s="188">
        <v>0.2</v>
      </c>
      <c r="N19" s="157"/>
    </row>
    <row r="20" spans="1:14" x14ac:dyDescent="0.2">
      <c r="A20" s="769" t="s">
        <v>42</v>
      </c>
      <c r="B20" s="770"/>
      <c r="C20" s="771" t="s">
        <v>43</v>
      </c>
      <c r="D20" s="772"/>
      <c r="E20" s="772"/>
      <c r="F20" s="772"/>
      <c r="G20" s="772"/>
      <c r="H20" s="772"/>
      <c r="I20" s="773"/>
      <c r="J20" s="188">
        <v>0.6</v>
      </c>
      <c r="K20" s="188">
        <v>0.6</v>
      </c>
      <c r="L20" s="188">
        <v>0.6</v>
      </c>
      <c r="M20" s="188">
        <v>0.6</v>
      </c>
      <c r="N20" s="157"/>
    </row>
    <row r="21" spans="1:14" x14ac:dyDescent="0.2">
      <c r="A21" s="769" t="s">
        <v>44</v>
      </c>
      <c r="B21" s="770"/>
      <c r="C21" s="771" t="s">
        <v>45</v>
      </c>
      <c r="D21" s="772"/>
      <c r="E21" s="772"/>
      <c r="F21" s="772"/>
      <c r="G21" s="772"/>
      <c r="H21" s="772"/>
      <c r="I21" s="773"/>
      <c r="J21" s="188">
        <v>2.5</v>
      </c>
      <c r="K21" s="188">
        <v>2.5</v>
      </c>
      <c r="L21" s="188">
        <v>2.5</v>
      </c>
      <c r="M21" s="188">
        <v>2.5</v>
      </c>
      <c r="N21" s="157"/>
    </row>
    <row r="22" spans="1:14" x14ac:dyDescent="0.2">
      <c r="A22" s="769" t="s">
        <v>46</v>
      </c>
      <c r="B22" s="770"/>
      <c r="C22" s="771" t="s">
        <v>47</v>
      </c>
      <c r="D22" s="772"/>
      <c r="E22" s="772"/>
      <c r="F22" s="772"/>
      <c r="G22" s="772"/>
      <c r="H22" s="772"/>
      <c r="I22" s="773"/>
      <c r="J22" s="188">
        <v>3</v>
      </c>
      <c r="K22" s="188">
        <v>3</v>
      </c>
      <c r="L22" s="188">
        <v>3</v>
      </c>
      <c r="M22" s="188">
        <v>3</v>
      </c>
      <c r="N22" s="157"/>
    </row>
    <row r="23" spans="1:14" x14ac:dyDescent="0.2">
      <c r="A23" s="769" t="s">
        <v>48</v>
      </c>
      <c r="B23" s="770"/>
      <c r="C23" s="771" t="s">
        <v>49</v>
      </c>
      <c r="D23" s="772"/>
      <c r="E23" s="772"/>
      <c r="F23" s="772"/>
      <c r="G23" s="772"/>
      <c r="H23" s="772"/>
      <c r="I23" s="773"/>
      <c r="J23" s="188">
        <v>8</v>
      </c>
      <c r="K23" s="188">
        <v>8</v>
      </c>
      <c r="L23" s="188">
        <v>8</v>
      </c>
      <c r="M23" s="188">
        <v>8</v>
      </c>
      <c r="N23" s="157"/>
    </row>
    <row r="24" spans="1:14" ht="13.5" thickBot="1" x14ac:dyDescent="0.25">
      <c r="A24" s="774" t="s">
        <v>50</v>
      </c>
      <c r="B24" s="775"/>
      <c r="C24" s="776" t="s">
        <v>51</v>
      </c>
      <c r="D24" s="777"/>
      <c r="E24" s="777"/>
      <c r="F24" s="777"/>
      <c r="G24" s="777"/>
      <c r="H24" s="777"/>
      <c r="I24" s="778"/>
      <c r="J24" s="508">
        <v>0</v>
      </c>
      <c r="K24" s="508">
        <v>0</v>
      </c>
      <c r="L24" s="508">
        <v>0</v>
      </c>
      <c r="M24" s="508">
        <v>0</v>
      </c>
      <c r="N24" s="157"/>
    </row>
    <row r="25" spans="1:14" ht="16.5" thickBot="1" x14ac:dyDescent="0.3">
      <c r="A25" s="779" t="s">
        <v>52</v>
      </c>
      <c r="B25" s="780"/>
      <c r="C25" s="780" t="s">
        <v>13</v>
      </c>
      <c r="D25" s="780"/>
      <c r="E25" s="780"/>
      <c r="F25" s="780"/>
      <c r="G25" s="780"/>
      <c r="H25" s="780"/>
      <c r="I25" s="780"/>
      <c r="J25" s="509">
        <f>SUM(J16:J24)</f>
        <v>21.8</v>
      </c>
      <c r="K25" s="509">
        <f>SUM(K16:K24)</f>
        <v>21.8</v>
      </c>
      <c r="L25" s="509">
        <f>SUM(L16:L24)</f>
        <v>36.799999999999997</v>
      </c>
      <c r="M25" s="510">
        <f>SUM(M16:M24)</f>
        <v>36.799999999999997</v>
      </c>
      <c r="N25" s="157"/>
    </row>
    <row r="26" spans="1:14" ht="16.5" thickBot="1" x14ac:dyDescent="0.3">
      <c r="A26" s="741" t="s">
        <v>53</v>
      </c>
      <c r="B26" s="742"/>
      <c r="C26" s="742"/>
      <c r="D26" s="742"/>
      <c r="E26" s="742"/>
      <c r="F26" s="742"/>
      <c r="G26" s="742"/>
      <c r="H26" s="742"/>
      <c r="I26" s="742"/>
      <c r="J26" s="742"/>
      <c r="K26" s="742"/>
      <c r="L26" s="742"/>
      <c r="M26" s="743"/>
      <c r="N26" s="157"/>
    </row>
    <row r="27" spans="1:14" x14ac:dyDescent="0.2">
      <c r="A27" s="764" t="s">
        <v>54</v>
      </c>
      <c r="B27" s="765"/>
      <c r="C27" s="766" t="s">
        <v>55</v>
      </c>
      <c r="D27" s="767"/>
      <c r="E27" s="767"/>
      <c r="F27" s="767"/>
      <c r="G27" s="767"/>
      <c r="H27" s="767"/>
      <c r="I27" s="768"/>
      <c r="J27" s="186">
        <v>17.98</v>
      </c>
      <c r="K27" s="186">
        <v>0</v>
      </c>
      <c r="L27" s="186">
        <v>17.98</v>
      </c>
      <c r="M27" s="187">
        <v>0</v>
      </c>
      <c r="N27" s="157"/>
    </row>
    <row r="28" spans="1:14" x14ac:dyDescent="0.2">
      <c r="A28" s="769" t="s">
        <v>56</v>
      </c>
      <c r="B28" s="770"/>
      <c r="C28" s="771" t="s">
        <v>57</v>
      </c>
      <c r="D28" s="772"/>
      <c r="E28" s="772"/>
      <c r="F28" s="772"/>
      <c r="G28" s="772"/>
      <c r="H28" s="772"/>
      <c r="I28" s="773"/>
      <c r="J28" s="188">
        <v>3.97</v>
      </c>
      <c r="K28" s="188">
        <v>0</v>
      </c>
      <c r="L28" s="188">
        <v>3.97</v>
      </c>
      <c r="M28" s="189">
        <v>0</v>
      </c>
      <c r="N28" s="157"/>
    </row>
    <row r="29" spans="1:14" x14ac:dyDescent="0.2">
      <c r="A29" s="769" t="s">
        <v>58</v>
      </c>
      <c r="B29" s="770"/>
      <c r="C29" s="771" t="s">
        <v>59</v>
      </c>
      <c r="D29" s="772"/>
      <c r="E29" s="772"/>
      <c r="F29" s="772"/>
      <c r="G29" s="772"/>
      <c r="H29" s="772"/>
      <c r="I29" s="773"/>
      <c r="J29" s="188">
        <v>0.86</v>
      </c>
      <c r="K29" s="188">
        <v>0.65</v>
      </c>
      <c r="L29" s="188">
        <v>0.86</v>
      </c>
      <c r="M29" s="189">
        <v>0.65</v>
      </c>
      <c r="N29" s="157"/>
    </row>
    <row r="30" spans="1:14" x14ac:dyDescent="0.2">
      <c r="A30" s="769" t="s">
        <v>60</v>
      </c>
      <c r="B30" s="770"/>
      <c r="C30" s="771" t="s">
        <v>61</v>
      </c>
      <c r="D30" s="772"/>
      <c r="E30" s="772"/>
      <c r="F30" s="772"/>
      <c r="G30" s="772"/>
      <c r="H30" s="772"/>
      <c r="I30" s="773"/>
      <c r="J30" s="188">
        <v>11.07</v>
      </c>
      <c r="K30" s="188">
        <v>8.33</v>
      </c>
      <c r="L30" s="188">
        <v>11.07</v>
      </c>
      <c r="M30" s="189">
        <v>8.33</v>
      </c>
      <c r="N30" s="157"/>
    </row>
    <row r="31" spans="1:14" x14ac:dyDescent="0.2">
      <c r="A31" s="769" t="s">
        <v>62</v>
      </c>
      <c r="B31" s="770"/>
      <c r="C31" s="771" t="s">
        <v>63</v>
      </c>
      <c r="D31" s="772"/>
      <c r="E31" s="772"/>
      <c r="F31" s="772"/>
      <c r="G31" s="772"/>
      <c r="H31" s="772"/>
      <c r="I31" s="773"/>
      <c r="J31" s="188">
        <v>7.0000000000000007E-2</v>
      </c>
      <c r="K31" s="188">
        <v>0.05</v>
      </c>
      <c r="L31" s="188">
        <v>7.0000000000000007E-2</v>
      </c>
      <c r="M31" s="189">
        <v>0.05</v>
      </c>
      <c r="N31" s="157"/>
    </row>
    <row r="32" spans="1:14" x14ac:dyDescent="0.2">
      <c r="A32" s="769" t="s">
        <v>64</v>
      </c>
      <c r="B32" s="770"/>
      <c r="C32" s="771" t="s">
        <v>65</v>
      </c>
      <c r="D32" s="772"/>
      <c r="E32" s="772"/>
      <c r="F32" s="772"/>
      <c r="G32" s="772"/>
      <c r="H32" s="772"/>
      <c r="I32" s="773"/>
      <c r="J32" s="188">
        <v>0.74</v>
      </c>
      <c r="K32" s="188">
        <v>0.56000000000000005</v>
      </c>
      <c r="L32" s="188">
        <v>0.74</v>
      </c>
      <c r="M32" s="189">
        <v>0.56000000000000005</v>
      </c>
      <c r="N32" s="157"/>
    </row>
    <row r="33" spans="1:14" x14ac:dyDescent="0.2">
      <c r="A33" s="769" t="s">
        <v>66</v>
      </c>
      <c r="B33" s="770"/>
      <c r="C33" s="771" t="s">
        <v>67</v>
      </c>
      <c r="D33" s="772"/>
      <c r="E33" s="772"/>
      <c r="F33" s="772"/>
      <c r="G33" s="772"/>
      <c r="H33" s="772"/>
      <c r="I33" s="773"/>
      <c r="J33" s="188">
        <v>2.14</v>
      </c>
      <c r="K33" s="188">
        <v>0</v>
      </c>
      <c r="L33" s="188">
        <v>2.14</v>
      </c>
      <c r="M33" s="189">
        <v>0</v>
      </c>
      <c r="N33" s="157"/>
    </row>
    <row r="34" spans="1:14" x14ac:dyDescent="0.2">
      <c r="A34" s="769" t="s">
        <v>68</v>
      </c>
      <c r="B34" s="770"/>
      <c r="C34" s="771" t="s">
        <v>69</v>
      </c>
      <c r="D34" s="772"/>
      <c r="E34" s="772"/>
      <c r="F34" s="772"/>
      <c r="G34" s="772"/>
      <c r="H34" s="772"/>
      <c r="I34" s="773"/>
      <c r="J34" s="188">
        <v>0.1</v>
      </c>
      <c r="K34" s="188">
        <v>7.0000000000000007E-2</v>
      </c>
      <c r="L34" s="188">
        <v>0.1</v>
      </c>
      <c r="M34" s="189">
        <v>7.0000000000000007E-2</v>
      </c>
      <c r="N34" s="157"/>
    </row>
    <row r="35" spans="1:14" x14ac:dyDescent="0.2">
      <c r="A35" s="769" t="s">
        <v>70</v>
      </c>
      <c r="B35" s="770"/>
      <c r="C35" s="771" t="s">
        <v>71</v>
      </c>
      <c r="D35" s="772"/>
      <c r="E35" s="772"/>
      <c r="F35" s="772"/>
      <c r="G35" s="772"/>
      <c r="H35" s="772"/>
      <c r="I35" s="773"/>
      <c r="J35" s="188">
        <v>11.92</v>
      </c>
      <c r="K35" s="188">
        <v>8.9700000000000006</v>
      </c>
      <c r="L35" s="188">
        <v>11.92</v>
      </c>
      <c r="M35" s="189">
        <v>8.9700000000000006</v>
      </c>
      <c r="N35" s="157"/>
    </row>
    <row r="36" spans="1:14" ht="13.5" thickBot="1" x14ac:dyDescent="0.25">
      <c r="A36" s="781" t="s">
        <v>72</v>
      </c>
      <c r="B36" s="782"/>
      <c r="C36" s="783" t="s">
        <v>73</v>
      </c>
      <c r="D36" s="784"/>
      <c r="E36" s="784"/>
      <c r="F36" s="784"/>
      <c r="G36" s="784"/>
      <c r="H36" s="784"/>
      <c r="I36" s="785"/>
      <c r="J36" s="190">
        <v>0.03</v>
      </c>
      <c r="K36" s="190">
        <v>0.03</v>
      </c>
      <c r="L36" s="190">
        <v>0.03</v>
      </c>
      <c r="M36" s="191">
        <v>0.03</v>
      </c>
      <c r="N36" s="157"/>
    </row>
    <row r="37" spans="1:14" ht="16.5" thickBot="1" x14ac:dyDescent="0.3">
      <c r="A37" s="779" t="s">
        <v>74</v>
      </c>
      <c r="B37" s="780"/>
      <c r="C37" s="780" t="s">
        <v>13</v>
      </c>
      <c r="D37" s="780"/>
      <c r="E37" s="780"/>
      <c r="F37" s="780"/>
      <c r="G37" s="780"/>
      <c r="H37" s="780"/>
      <c r="I37" s="780"/>
      <c r="J37" s="506">
        <f>SUM(J27:J36)</f>
        <v>48.88</v>
      </c>
      <c r="K37" s="506">
        <f>SUM(K27:K36)</f>
        <v>18.660000000000004</v>
      </c>
      <c r="L37" s="506">
        <f>SUM(L27:L36)</f>
        <v>48.88</v>
      </c>
      <c r="M37" s="507">
        <f>SUM(M27:M36)</f>
        <v>18.660000000000004</v>
      </c>
      <c r="N37" s="157"/>
    </row>
    <row r="38" spans="1:14" ht="16.5" thickBot="1" x14ac:dyDescent="0.3">
      <c r="A38" s="741" t="s">
        <v>75</v>
      </c>
      <c r="B38" s="742"/>
      <c r="C38" s="742"/>
      <c r="D38" s="742"/>
      <c r="E38" s="742"/>
      <c r="F38" s="742"/>
      <c r="G38" s="742"/>
      <c r="H38" s="742"/>
      <c r="I38" s="742"/>
      <c r="J38" s="742"/>
      <c r="K38" s="742"/>
      <c r="L38" s="742"/>
      <c r="M38" s="743"/>
      <c r="N38" s="157"/>
    </row>
    <row r="39" spans="1:14" x14ac:dyDescent="0.2">
      <c r="A39" s="764" t="s">
        <v>76</v>
      </c>
      <c r="B39" s="765"/>
      <c r="C39" s="766" t="s">
        <v>77</v>
      </c>
      <c r="D39" s="767"/>
      <c r="E39" s="767"/>
      <c r="F39" s="767"/>
      <c r="G39" s="767"/>
      <c r="H39" s="767"/>
      <c r="I39" s="768"/>
      <c r="J39" s="192">
        <v>5.49</v>
      </c>
      <c r="K39" s="192">
        <v>4.13</v>
      </c>
      <c r="L39" s="192">
        <v>5.49</v>
      </c>
      <c r="M39" s="193">
        <v>4.13</v>
      </c>
      <c r="N39" s="157"/>
    </row>
    <row r="40" spans="1:14" x14ac:dyDescent="0.2">
      <c r="A40" s="769" t="s">
        <v>78</v>
      </c>
      <c r="B40" s="770"/>
      <c r="C40" s="771" t="s">
        <v>79</v>
      </c>
      <c r="D40" s="772"/>
      <c r="E40" s="772"/>
      <c r="F40" s="772"/>
      <c r="G40" s="772"/>
      <c r="H40" s="772"/>
      <c r="I40" s="773"/>
      <c r="J40" s="194">
        <v>0.13</v>
      </c>
      <c r="K40" s="194">
        <v>0.1</v>
      </c>
      <c r="L40" s="194">
        <v>0.13</v>
      </c>
      <c r="M40" s="195">
        <v>0.1</v>
      </c>
      <c r="N40" s="157"/>
    </row>
    <row r="41" spans="1:14" x14ac:dyDescent="0.2">
      <c r="A41" s="769" t="s">
        <v>80</v>
      </c>
      <c r="B41" s="770"/>
      <c r="C41" s="771" t="s">
        <v>81</v>
      </c>
      <c r="D41" s="772"/>
      <c r="E41" s="772"/>
      <c r="F41" s="772"/>
      <c r="G41" s="772"/>
      <c r="H41" s="772"/>
      <c r="I41" s="773"/>
      <c r="J41" s="194">
        <v>2.36</v>
      </c>
      <c r="K41" s="194">
        <v>1.77</v>
      </c>
      <c r="L41" s="194">
        <v>2.36</v>
      </c>
      <c r="M41" s="195">
        <v>1.77</v>
      </c>
      <c r="N41" s="157"/>
    </row>
    <row r="42" spans="1:14" x14ac:dyDescent="0.2">
      <c r="A42" s="769" t="s">
        <v>82</v>
      </c>
      <c r="B42" s="770"/>
      <c r="C42" s="771" t="s">
        <v>138</v>
      </c>
      <c r="D42" s="772"/>
      <c r="E42" s="772"/>
      <c r="F42" s="772"/>
      <c r="G42" s="772"/>
      <c r="H42" s="772"/>
      <c r="I42" s="773"/>
      <c r="J42" s="194">
        <v>2.97</v>
      </c>
      <c r="K42" s="194">
        <v>2.2400000000000002</v>
      </c>
      <c r="L42" s="194">
        <v>2.97</v>
      </c>
      <c r="M42" s="195">
        <v>2.2400000000000002</v>
      </c>
      <c r="N42" s="157"/>
    </row>
    <row r="43" spans="1:14" ht="13.5" thickBot="1" x14ac:dyDescent="0.25">
      <c r="A43" s="781" t="s">
        <v>83</v>
      </c>
      <c r="B43" s="782"/>
      <c r="C43" s="783" t="s">
        <v>84</v>
      </c>
      <c r="D43" s="784"/>
      <c r="E43" s="784"/>
      <c r="F43" s="784"/>
      <c r="G43" s="784"/>
      <c r="H43" s="784"/>
      <c r="I43" s="785"/>
      <c r="J43" s="196">
        <v>0.46</v>
      </c>
      <c r="K43" s="196">
        <v>0.35</v>
      </c>
      <c r="L43" s="196">
        <v>0.46</v>
      </c>
      <c r="M43" s="197">
        <v>0.35</v>
      </c>
      <c r="N43" s="157"/>
    </row>
    <row r="44" spans="1:14" ht="16.5" thickBot="1" x14ac:dyDescent="0.3">
      <c r="A44" s="779" t="s">
        <v>85</v>
      </c>
      <c r="B44" s="780"/>
      <c r="C44" s="780" t="s">
        <v>13</v>
      </c>
      <c r="D44" s="780"/>
      <c r="E44" s="780"/>
      <c r="F44" s="780"/>
      <c r="G44" s="780"/>
      <c r="H44" s="780"/>
      <c r="I44" s="780"/>
      <c r="J44" s="502">
        <f>SUM(J39:J43)</f>
        <v>11.410000000000002</v>
      </c>
      <c r="K44" s="502">
        <f>SUM(K39:K43)</f>
        <v>8.59</v>
      </c>
      <c r="L44" s="502">
        <f>SUM(L39:L43)</f>
        <v>11.410000000000002</v>
      </c>
      <c r="M44" s="503">
        <f>SUM(M39:M43)</f>
        <v>8.59</v>
      </c>
    </row>
    <row r="45" spans="1:14" ht="16.5" thickBot="1" x14ac:dyDescent="0.3">
      <c r="A45" s="741" t="s">
        <v>86</v>
      </c>
      <c r="B45" s="742"/>
      <c r="C45" s="742"/>
      <c r="D45" s="742"/>
      <c r="E45" s="742"/>
      <c r="F45" s="742"/>
      <c r="G45" s="742"/>
      <c r="H45" s="742"/>
      <c r="I45" s="742"/>
      <c r="J45" s="742"/>
      <c r="K45" s="742"/>
      <c r="L45" s="742"/>
      <c r="M45" s="743"/>
    </row>
    <row r="46" spans="1:14" x14ac:dyDescent="0.2">
      <c r="A46" s="764" t="s">
        <v>87</v>
      </c>
      <c r="B46" s="765"/>
      <c r="C46" s="766" t="s">
        <v>88</v>
      </c>
      <c r="D46" s="767"/>
      <c r="E46" s="767"/>
      <c r="F46" s="767"/>
      <c r="G46" s="767"/>
      <c r="H46" s="767"/>
      <c r="I46" s="768"/>
      <c r="J46" s="192">
        <v>10.1</v>
      </c>
      <c r="K46" s="192">
        <v>3.65</v>
      </c>
      <c r="L46" s="192">
        <v>17.989999999999998</v>
      </c>
      <c r="M46" s="193">
        <v>6.87</v>
      </c>
    </row>
    <row r="47" spans="1:14" ht="44.25" customHeight="1" thickBot="1" x14ac:dyDescent="0.25">
      <c r="A47" s="781" t="s">
        <v>89</v>
      </c>
      <c r="B47" s="782"/>
      <c r="C47" s="786" t="s">
        <v>90</v>
      </c>
      <c r="D47" s="787"/>
      <c r="E47" s="787"/>
      <c r="F47" s="787"/>
      <c r="G47" s="787"/>
      <c r="H47" s="787"/>
      <c r="I47" s="788"/>
      <c r="J47" s="196">
        <v>0.47</v>
      </c>
      <c r="K47" s="196">
        <v>0.35</v>
      </c>
      <c r="L47" s="196">
        <v>0.49</v>
      </c>
      <c r="M47" s="197">
        <v>0.37</v>
      </c>
    </row>
    <row r="48" spans="1:14" ht="16.5" thickBot="1" x14ac:dyDescent="0.3">
      <c r="A48" s="779" t="s">
        <v>91</v>
      </c>
      <c r="B48" s="780"/>
      <c r="C48" s="780" t="s">
        <v>13</v>
      </c>
      <c r="D48" s="780"/>
      <c r="E48" s="780"/>
      <c r="F48" s="780"/>
      <c r="G48" s="780"/>
      <c r="H48" s="780"/>
      <c r="I48" s="780"/>
      <c r="J48" s="502">
        <f>SUM(J46:J47)</f>
        <v>10.57</v>
      </c>
      <c r="K48" s="502">
        <f>SUM(K46:K47)</f>
        <v>4</v>
      </c>
      <c r="L48" s="502">
        <f>SUM(L46:L47)</f>
        <v>18.479999999999997</v>
      </c>
      <c r="M48" s="503">
        <f>SUM(M46:M47)</f>
        <v>7.24</v>
      </c>
    </row>
    <row r="49" spans="1:13" ht="16.5" thickBot="1" x14ac:dyDescent="0.3">
      <c r="A49" s="201"/>
      <c r="B49" s="202"/>
      <c r="C49" s="202"/>
      <c r="D49" s="202"/>
      <c r="E49" s="202"/>
      <c r="F49" s="202"/>
      <c r="G49" s="202"/>
      <c r="H49" s="202"/>
      <c r="I49" s="202"/>
      <c r="J49" s="203"/>
      <c r="K49" s="203"/>
      <c r="L49" s="203"/>
      <c r="M49" s="204"/>
    </row>
    <row r="50" spans="1:13" ht="16.5" thickBot="1" x14ac:dyDescent="0.3">
      <c r="A50" s="779"/>
      <c r="B50" s="780"/>
      <c r="C50" s="780" t="s">
        <v>92</v>
      </c>
      <c r="D50" s="780"/>
      <c r="E50" s="780"/>
      <c r="F50" s="780"/>
      <c r="G50" s="780"/>
      <c r="H50" s="780"/>
      <c r="I50" s="780"/>
      <c r="J50" s="504">
        <f>J25+J37+J44+J48</f>
        <v>92.66</v>
      </c>
      <c r="K50" s="504">
        <f>K25+K37+K44+K48</f>
        <v>53.050000000000011</v>
      </c>
      <c r="L50" s="504">
        <f>L25+L37+L44+L48</f>
        <v>115.57</v>
      </c>
      <c r="M50" s="505">
        <f>M25+M37+M44+M48</f>
        <v>71.289999999999992</v>
      </c>
    </row>
    <row r="52" spans="1:13" x14ac:dyDescent="0.2">
      <c r="B52" s="205"/>
      <c r="C52" s="205"/>
    </row>
    <row r="63" spans="1:13" x14ac:dyDescent="0.2">
      <c r="B63" s="48" t="s">
        <v>14</v>
      </c>
    </row>
  </sheetData>
  <mergeCells count="83">
    <mergeCell ref="A50:B50"/>
    <mergeCell ref="C50:I50"/>
    <mergeCell ref="A45:M45"/>
    <mergeCell ref="A46:B46"/>
    <mergeCell ref="C46:I46"/>
    <mergeCell ref="A47:B47"/>
    <mergeCell ref="C47:I47"/>
    <mergeCell ref="A48:B48"/>
    <mergeCell ref="C48:I48"/>
    <mergeCell ref="A42:B42"/>
    <mergeCell ref="C42:I42"/>
    <mergeCell ref="A43:B43"/>
    <mergeCell ref="C43:I43"/>
    <mergeCell ref="A44:B44"/>
    <mergeCell ref="C44:I44"/>
    <mergeCell ref="A41:B41"/>
    <mergeCell ref="C41:I41"/>
    <mergeCell ref="A35:B35"/>
    <mergeCell ref="C35:I35"/>
    <mergeCell ref="A36:B36"/>
    <mergeCell ref="C36:I36"/>
    <mergeCell ref="A37:B37"/>
    <mergeCell ref="C37:I37"/>
    <mergeCell ref="A38:M38"/>
    <mergeCell ref="A39:B39"/>
    <mergeCell ref="C39:I39"/>
    <mergeCell ref="A40:B40"/>
    <mergeCell ref="C40:I40"/>
    <mergeCell ref="A32:B32"/>
    <mergeCell ref="C32:I32"/>
    <mergeCell ref="A33:B33"/>
    <mergeCell ref="C33:I33"/>
    <mergeCell ref="A34:B34"/>
    <mergeCell ref="C34:I34"/>
    <mergeCell ref="A29:B29"/>
    <mergeCell ref="C29:I29"/>
    <mergeCell ref="A30:B30"/>
    <mergeCell ref="C30:I30"/>
    <mergeCell ref="A31:B31"/>
    <mergeCell ref="C31:I31"/>
    <mergeCell ref="A28:B28"/>
    <mergeCell ref="C28:I28"/>
    <mergeCell ref="A22:B22"/>
    <mergeCell ref="C22:I22"/>
    <mergeCell ref="A23:B23"/>
    <mergeCell ref="C23:I23"/>
    <mergeCell ref="A24:B24"/>
    <mergeCell ref="C24:I24"/>
    <mergeCell ref="A25:B25"/>
    <mergeCell ref="C25:I25"/>
    <mergeCell ref="A26:M26"/>
    <mergeCell ref="A27:B27"/>
    <mergeCell ref="C27:I27"/>
    <mergeCell ref="A19:B19"/>
    <mergeCell ref="C19:I19"/>
    <mergeCell ref="A20:B20"/>
    <mergeCell ref="C20:I20"/>
    <mergeCell ref="A21:B21"/>
    <mergeCell ref="C21:I21"/>
    <mergeCell ref="A16:B16"/>
    <mergeCell ref="C16:I16"/>
    <mergeCell ref="A17:B17"/>
    <mergeCell ref="C17:I17"/>
    <mergeCell ref="A18:B18"/>
    <mergeCell ref="C18:I18"/>
    <mergeCell ref="M13:M14"/>
    <mergeCell ref="A15:M15"/>
    <mergeCell ref="A10:M10"/>
    <mergeCell ref="A11:M11"/>
    <mergeCell ref="A12:B14"/>
    <mergeCell ref="C12:I14"/>
    <mergeCell ref="J12:K12"/>
    <mergeCell ref="L12:M12"/>
    <mergeCell ref="J13:J14"/>
    <mergeCell ref="K13:K14"/>
    <mergeCell ref="L13:L14"/>
    <mergeCell ref="A8:J8"/>
    <mergeCell ref="K6:L6"/>
    <mergeCell ref="A1:L1"/>
    <mergeCell ref="A2:L2"/>
    <mergeCell ref="A3:L3"/>
    <mergeCell ref="A6:J6"/>
    <mergeCell ref="A7:C7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55"/>
  <sheetViews>
    <sheetView zoomScaleNormal="100" zoomScaleSheetLayoutView="100" workbookViewId="0">
      <selection activeCell="E18" sqref="E18:H19"/>
    </sheetView>
  </sheetViews>
  <sheetFormatPr defaultColWidth="9.140625" defaultRowHeight="14.25" x14ac:dyDescent="0.2"/>
  <cols>
    <col min="1" max="1" width="10.28515625" style="24" customWidth="1"/>
    <col min="2" max="2" width="56.7109375" style="24" customWidth="1"/>
    <col min="3" max="3" width="18.7109375" style="24" customWidth="1"/>
    <col min="4" max="4" width="2" style="24" customWidth="1"/>
    <col min="5" max="5" width="14.7109375" style="24" customWidth="1"/>
    <col min="6" max="6" width="1" style="24" customWidth="1"/>
    <col min="7" max="7" width="10.42578125" style="24" customWidth="1"/>
    <col min="8" max="8" width="11.42578125" style="24" customWidth="1"/>
    <col min="9" max="9" width="2.140625" style="24" customWidth="1"/>
    <col min="10" max="13" width="9.140625" style="24"/>
    <col min="14" max="14" width="69.7109375" style="24" customWidth="1"/>
    <col min="15" max="15" width="9.7109375" style="24" bestFit="1" customWidth="1"/>
    <col min="16" max="16" width="13.28515625" style="24" customWidth="1"/>
    <col min="17" max="17" width="14.42578125" style="24" customWidth="1"/>
    <col min="18" max="18" width="23.28515625" style="24" customWidth="1"/>
    <col min="19" max="16384" width="9.140625" style="24"/>
  </cols>
  <sheetData>
    <row r="1" spans="1:51" ht="23.25" x14ac:dyDescent="0.35">
      <c r="A1" s="869" t="s">
        <v>12</v>
      </c>
      <c r="B1" s="870"/>
      <c r="C1" s="870"/>
      <c r="D1" s="870"/>
      <c r="E1" s="870"/>
      <c r="F1" s="210"/>
      <c r="G1" s="210"/>
      <c r="H1" s="43"/>
    </row>
    <row r="2" spans="1:51" ht="20.25" x14ac:dyDescent="0.3">
      <c r="A2" s="871" t="s">
        <v>146</v>
      </c>
      <c r="B2" s="872"/>
      <c r="C2" s="872"/>
      <c r="D2" s="872"/>
      <c r="E2" s="872"/>
      <c r="H2" s="44"/>
    </row>
    <row r="3" spans="1:51" ht="18" x14ac:dyDescent="0.25">
      <c r="A3" s="694" t="s">
        <v>328</v>
      </c>
      <c r="B3" s="695"/>
      <c r="C3" s="695"/>
      <c r="D3" s="695"/>
      <c r="E3" s="695"/>
      <c r="H3" s="44"/>
    </row>
    <row r="4" spans="1:51" x14ac:dyDescent="0.2">
      <c r="A4" s="23"/>
      <c r="H4" s="44"/>
    </row>
    <row r="5" spans="1:51" ht="15.75" x14ac:dyDescent="0.25">
      <c r="A5" s="51" t="s">
        <v>6</v>
      </c>
      <c r="B5" s="52"/>
      <c r="C5" s="1"/>
      <c r="D5" s="672" t="s">
        <v>8</v>
      </c>
      <c r="E5" s="672"/>
      <c r="H5" s="44"/>
    </row>
    <row r="6" spans="1:51" ht="15.75" customHeight="1" x14ac:dyDescent="0.25">
      <c r="A6" s="873" t="str">
        <f>'ENCARGOS SOCIAIS'!A6:J6</f>
        <v>Conclusão da obra da FÁRMACIA UNIVERSITÁRIA.</v>
      </c>
      <c r="B6" s="874"/>
      <c r="C6" s="874"/>
      <c r="D6" s="673" t="str">
        <f>SERVIÇOS!E5</f>
        <v>JULHO/2025</v>
      </c>
      <c r="E6" s="875"/>
      <c r="H6" s="44"/>
    </row>
    <row r="7" spans="1:51" ht="15.75" x14ac:dyDescent="0.25">
      <c r="A7" s="674" t="s">
        <v>7</v>
      </c>
      <c r="B7" s="675"/>
      <c r="C7" s="675"/>
      <c r="D7" s="672" t="s">
        <v>10</v>
      </c>
      <c r="E7" s="672"/>
      <c r="G7" s="876" t="s">
        <v>141</v>
      </c>
      <c r="H7" s="683"/>
    </row>
    <row r="8" spans="1:51" ht="16.5" thickBot="1" x14ac:dyDescent="0.3">
      <c r="A8" s="877" t="str">
        <f>SERVIÇOS!A7</f>
        <v>Campus Universitário de Ondina - Salvador - Bahia</v>
      </c>
      <c r="B8" s="878"/>
      <c r="C8" s="878"/>
      <c r="D8" s="879">
        <f>SERVIÇOS!E7</f>
        <v>274.14999999999998</v>
      </c>
      <c r="E8" s="879"/>
      <c r="F8" s="199"/>
      <c r="G8" s="687">
        <f ca="1">NOW()</f>
        <v>45902.492755092593</v>
      </c>
      <c r="H8" s="880"/>
    </row>
    <row r="9" spans="1:51" ht="15.75" thickTop="1" thickBot="1" x14ac:dyDescent="0.25"/>
    <row r="10" spans="1:51" s="219" customFormat="1" ht="14.25" customHeight="1" thickTop="1" x14ac:dyDescent="0.2">
      <c r="A10" s="881" t="s">
        <v>144</v>
      </c>
      <c r="B10" s="882"/>
      <c r="C10" s="882"/>
      <c r="D10" s="882"/>
      <c r="E10" s="883"/>
      <c r="F10" s="211"/>
      <c r="G10" s="212"/>
      <c r="H10" s="213"/>
      <c r="I10" s="214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6"/>
      <c r="U10" s="217"/>
      <c r="V10" s="216"/>
      <c r="W10" s="216"/>
      <c r="X10" s="216"/>
      <c r="Y10" s="216"/>
      <c r="Z10" s="218"/>
      <c r="AA10" s="216"/>
      <c r="AB10" s="216"/>
      <c r="AC10" s="216"/>
      <c r="AD10" s="216"/>
      <c r="AE10" s="863"/>
      <c r="AF10" s="216"/>
      <c r="AG10" s="216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6"/>
    </row>
    <row r="11" spans="1:51" s="219" customFormat="1" ht="14.25" customHeight="1" thickBot="1" x14ac:dyDescent="0.25">
      <c r="A11" s="884"/>
      <c r="B11" s="885"/>
      <c r="C11" s="885"/>
      <c r="D11" s="885"/>
      <c r="E11" s="886"/>
      <c r="F11" s="211"/>
      <c r="G11" s="220"/>
      <c r="H11" s="221"/>
      <c r="I11" s="214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6"/>
      <c r="U11" s="217"/>
      <c r="V11" s="216"/>
      <c r="W11" s="216"/>
      <c r="X11" s="216"/>
      <c r="Y11" s="216"/>
      <c r="Z11" s="218"/>
      <c r="AA11" s="216"/>
      <c r="AB11" s="216"/>
      <c r="AC11" s="216"/>
      <c r="AD11" s="216"/>
      <c r="AE11" s="863"/>
      <c r="AF11" s="216"/>
      <c r="AG11" s="216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6"/>
    </row>
    <row r="12" spans="1:51" s="219" customFormat="1" ht="4.5" customHeight="1" thickBot="1" x14ac:dyDescent="0.25">
      <c r="A12" s="222"/>
      <c r="B12" s="223"/>
      <c r="C12" s="223"/>
      <c r="D12" s="223"/>
      <c r="E12" s="224"/>
      <c r="F12" s="225"/>
      <c r="G12" s="226"/>
      <c r="H12" s="221"/>
      <c r="I12" s="214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6"/>
      <c r="U12" s="217"/>
      <c r="V12" s="216"/>
      <c r="W12" s="216"/>
      <c r="X12" s="216"/>
      <c r="Y12" s="216"/>
      <c r="Z12" s="218"/>
      <c r="AA12" s="216"/>
      <c r="AB12" s="216"/>
      <c r="AC12" s="216"/>
      <c r="AD12" s="216"/>
      <c r="AE12" s="863"/>
      <c r="AF12" s="216"/>
      <c r="AG12" s="216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6"/>
    </row>
    <row r="13" spans="1:51" s="219" customFormat="1" ht="27" customHeight="1" thickBot="1" x14ac:dyDescent="0.25">
      <c r="A13" s="864" t="str">
        <f>SERVIÇOS!A5</f>
        <v>Conclusão da obra da FÁRMACIA UNIVERSITÁRIA.</v>
      </c>
      <c r="B13" s="865"/>
      <c r="C13" s="866" t="s">
        <v>93</v>
      </c>
      <c r="D13" s="867"/>
      <c r="E13" s="227"/>
      <c r="F13" s="228"/>
      <c r="G13" s="229"/>
      <c r="H13" s="230"/>
      <c r="I13" s="214"/>
      <c r="J13" s="215"/>
      <c r="K13" s="215"/>
      <c r="L13" s="231"/>
      <c r="M13" s="868"/>
      <c r="N13" s="868"/>
      <c r="O13" s="868"/>
      <c r="P13" s="215"/>
      <c r="Q13" s="215"/>
      <c r="R13" s="215"/>
      <c r="S13" s="215"/>
      <c r="T13" s="215"/>
      <c r="U13" s="232"/>
      <c r="V13" s="233"/>
      <c r="W13" s="234"/>
      <c r="X13" s="235"/>
      <c r="Y13" s="236"/>
      <c r="Z13" s="237"/>
      <c r="AA13" s="238"/>
      <c r="AB13" s="239"/>
      <c r="AC13" s="239"/>
      <c r="AD13" s="239"/>
      <c r="AE13" s="863"/>
      <c r="AF13" s="238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6"/>
    </row>
    <row r="14" spans="1:51" s="219" customFormat="1" ht="14.25" customHeight="1" thickBot="1" x14ac:dyDescent="0.25">
      <c r="A14" s="240" t="s">
        <v>94</v>
      </c>
      <c r="B14" s="241"/>
      <c r="C14" s="866" t="s">
        <v>95</v>
      </c>
      <c r="D14" s="867"/>
      <c r="E14" s="242">
        <f ca="1">SERVIÇOS!G5</f>
        <v>45902.492755092593</v>
      </c>
      <c r="F14" s="225"/>
      <c r="G14" s="243"/>
      <c r="H14" s="244"/>
      <c r="I14" s="214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32"/>
      <c r="V14" s="233"/>
      <c r="W14" s="234"/>
      <c r="X14" s="235"/>
      <c r="Y14" s="245"/>
      <c r="Z14" s="246"/>
      <c r="AA14" s="247"/>
      <c r="AB14" s="239"/>
      <c r="AC14" s="239"/>
      <c r="AD14" s="239"/>
      <c r="AE14" s="863"/>
      <c r="AF14" s="247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6"/>
    </row>
    <row r="15" spans="1:51" ht="3.75" customHeight="1" thickBot="1" x14ac:dyDescent="0.25">
      <c r="A15" s="248"/>
      <c r="B15" s="249"/>
      <c r="C15" s="249"/>
      <c r="D15" s="249"/>
      <c r="E15" s="249"/>
      <c r="H15" s="44"/>
    </row>
    <row r="16" spans="1:51" ht="18" customHeight="1" thickBot="1" x14ac:dyDescent="0.25">
      <c r="A16" s="844" t="s">
        <v>148</v>
      </c>
      <c r="B16" s="845"/>
      <c r="C16" s="845"/>
      <c r="D16" s="845"/>
      <c r="E16" s="845"/>
      <c r="F16" s="845"/>
      <c r="G16" s="845"/>
      <c r="H16" s="846"/>
    </row>
    <row r="17" spans="1:18" ht="3.75" customHeight="1" thickBot="1" x14ac:dyDescent="0.25">
      <c r="A17" s="248"/>
      <c r="B17" s="249"/>
      <c r="C17" s="249"/>
      <c r="D17" s="249"/>
      <c r="E17" s="249"/>
      <c r="H17" s="44"/>
    </row>
    <row r="18" spans="1:18" ht="15.75" thickBot="1" x14ac:dyDescent="0.25">
      <c r="A18" s="844" t="s">
        <v>96</v>
      </c>
      <c r="B18" s="845"/>
      <c r="C18" s="846"/>
      <c r="D18" s="249"/>
      <c r="E18" s="847" t="s">
        <v>97</v>
      </c>
      <c r="F18" s="848"/>
      <c r="G18" s="849"/>
      <c r="H18" s="850"/>
    </row>
    <row r="19" spans="1:18" ht="22.5" customHeight="1" x14ac:dyDescent="0.25">
      <c r="A19" s="855" t="s">
        <v>20</v>
      </c>
      <c r="B19" s="857" t="s">
        <v>98</v>
      </c>
      <c r="C19" s="859" t="s">
        <v>99</v>
      </c>
      <c r="D19" s="250"/>
      <c r="E19" s="851"/>
      <c r="F19" s="852"/>
      <c r="G19" s="853"/>
      <c r="H19" s="854"/>
      <c r="N19" s="251"/>
      <c r="O19" s="252"/>
      <c r="P19" s="253"/>
      <c r="Q19" s="11"/>
      <c r="R19" s="11"/>
    </row>
    <row r="20" spans="1:18" ht="18.75" thickBot="1" x14ac:dyDescent="0.3">
      <c r="A20" s="856"/>
      <c r="B20" s="858"/>
      <c r="C20" s="860"/>
      <c r="D20" s="250"/>
      <c r="E20" s="254" t="s">
        <v>100</v>
      </c>
      <c r="F20" s="861" t="s">
        <v>101</v>
      </c>
      <c r="G20" s="862"/>
      <c r="H20" s="255" t="s">
        <v>102</v>
      </c>
      <c r="N20" s="251"/>
      <c r="O20" s="252"/>
      <c r="P20" s="253"/>
      <c r="Q20" s="11"/>
      <c r="R20" s="11"/>
    </row>
    <row r="21" spans="1:18" ht="3" customHeight="1" thickBot="1" x14ac:dyDescent="0.3">
      <c r="A21" s="840"/>
      <c r="B21" s="841"/>
      <c r="C21" s="841"/>
      <c r="D21" s="216"/>
      <c r="E21" s="216"/>
      <c r="H21" s="44"/>
      <c r="N21" s="251"/>
      <c r="O21" s="256"/>
      <c r="P21" s="257"/>
      <c r="Q21" s="257"/>
      <c r="R21" s="257"/>
    </row>
    <row r="22" spans="1:18" ht="18" x14ac:dyDescent="0.25">
      <c r="A22" s="206" t="s">
        <v>103</v>
      </c>
      <c r="B22" s="823" t="s">
        <v>104</v>
      </c>
      <c r="C22" s="824"/>
      <c r="D22" s="258"/>
      <c r="E22" s="259"/>
      <c r="F22" s="842"/>
      <c r="G22" s="843"/>
      <c r="H22" s="260"/>
      <c r="N22" s="257"/>
      <c r="O22" s="256"/>
      <c r="P22" s="261"/>
      <c r="Q22" s="257"/>
      <c r="R22" s="257"/>
    </row>
    <row r="23" spans="1:18" ht="18" x14ac:dyDescent="0.25">
      <c r="A23" s="207" t="s">
        <v>34</v>
      </c>
      <c r="B23" s="208" t="s">
        <v>105</v>
      </c>
      <c r="C23" s="209">
        <v>0.01</v>
      </c>
      <c r="D23" s="262"/>
      <c r="E23" s="263">
        <v>8.0000000000000002E-3</v>
      </c>
      <c r="F23" s="836">
        <v>8.0000000000000002E-3</v>
      </c>
      <c r="G23" s="837"/>
      <c r="H23" s="264">
        <v>0.01</v>
      </c>
      <c r="N23" s="257"/>
      <c r="O23" s="265"/>
      <c r="P23" s="266"/>
      <c r="Q23" s="267"/>
      <c r="R23" s="268"/>
    </row>
    <row r="24" spans="1:18" ht="18" x14ac:dyDescent="0.25">
      <c r="A24" s="207" t="s">
        <v>36</v>
      </c>
      <c r="B24" s="208" t="s">
        <v>106</v>
      </c>
      <c r="C24" s="209">
        <v>1.23E-2</v>
      </c>
      <c r="D24" s="262"/>
      <c r="E24" s="263">
        <v>9.7000000000000003E-3</v>
      </c>
      <c r="F24" s="836">
        <v>1.2699999999999999E-2</v>
      </c>
      <c r="G24" s="837"/>
      <c r="H24" s="264">
        <v>1.2699999999999999E-2</v>
      </c>
      <c r="N24" s="257"/>
      <c r="O24" s="265"/>
      <c r="P24" s="266"/>
      <c r="Q24" s="269"/>
      <c r="R24" s="268"/>
    </row>
    <row r="25" spans="1:18" ht="18" x14ac:dyDescent="0.25">
      <c r="A25" s="207" t="s">
        <v>38</v>
      </c>
      <c r="B25" s="208" t="s">
        <v>107</v>
      </c>
      <c r="C25" s="209">
        <v>1.2999999999999999E-2</v>
      </c>
      <c r="D25" s="262"/>
      <c r="E25" s="263">
        <v>5.8999999999999999E-3</v>
      </c>
      <c r="F25" s="836">
        <v>1.23E-2</v>
      </c>
      <c r="G25" s="837"/>
      <c r="H25" s="264">
        <v>1.3899999999999999E-2</v>
      </c>
      <c r="N25" s="257"/>
      <c r="O25" s="265"/>
      <c r="P25" s="266"/>
      <c r="Q25" s="269"/>
      <c r="R25" s="268"/>
    </row>
    <row r="26" spans="1:18" ht="18" x14ac:dyDescent="0.25">
      <c r="A26" s="207" t="s">
        <v>40</v>
      </c>
      <c r="B26" s="208" t="s">
        <v>108</v>
      </c>
      <c r="C26" s="209">
        <v>0.05</v>
      </c>
      <c r="D26" s="262"/>
      <c r="E26" s="263">
        <v>0.03</v>
      </c>
      <c r="F26" s="836">
        <v>0.04</v>
      </c>
      <c r="G26" s="837"/>
      <c r="H26" s="264">
        <v>5.5E-2</v>
      </c>
      <c r="N26" s="257"/>
      <c r="O26" s="265"/>
      <c r="P26" s="266"/>
      <c r="Q26" s="269"/>
      <c r="R26" s="268"/>
    </row>
    <row r="27" spans="1:18" ht="18.75" thickBot="1" x14ac:dyDescent="0.3">
      <c r="A27" s="806" t="s">
        <v>109</v>
      </c>
      <c r="B27" s="807"/>
      <c r="C27" s="270">
        <f>SUM(C23:C26)</f>
        <v>8.5300000000000001E-2</v>
      </c>
      <c r="D27" s="271"/>
      <c r="E27" s="272"/>
      <c r="F27" s="838"/>
      <c r="G27" s="839"/>
      <c r="H27" s="273"/>
      <c r="N27" s="257"/>
      <c r="O27" s="265"/>
      <c r="P27" s="266"/>
      <c r="Q27" s="269"/>
      <c r="R27" s="268"/>
    </row>
    <row r="28" spans="1:18" ht="3" customHeight="1" thickBot="1" x14ac:dyDescent="0.3">
      <c r="A28" s="814"/>
      <c r="B28" s="815"/>
      <c r="C28" s="815"/>
      <c r="D28" s="274"/>
      <c r="E28" s="262"/>
      <c r="F28" s="262"/>
      <c r="G28" s="262"/>
      <c r="H28" s="275"/>
      <c r="N28" s="276"/>
      <c r="O28" s="276"/>
      <c r="P28" s="266"/>
      <c r="Q28" s="269"/>
      <c r="R28" s="277"/>
    </row>
    <row r="29" spans="1:18" ht="15" customHeight="1" x14ac:dyDescent="0.25">
      <c r="A29" s="206" t="s">
        <v>110</v>
      </c>
      <c r="B29" s="823" t="s">
        <v>111</v>
      </c>
      <c r="C29" s="824"/>
      <c r="D29" s="258"/>
      <c r="E29" s="278"/>
      <c r="F29" s="834"/>
      <c r="G29" s="835"/>
      <c r="H29" s="279"/>
      <c r="N29" s="276"/>
      <c r="O29" s="276"/>
      <c r="P29" s="266"/>
      <c r="Q29" s="269"/>
      <c r="R29" s="277"/>
    </row>
    <row r="30" spans="1:18" ht="15" customHeight="1" x14ac:dyDescent="0.25">
      <c r="A30" s="207" t="s">
        <v>112</v>
      </c>
      <c r="B30" s="208" t="s">
        <v>113</v>
      </c>
      <c r="C30" s="209">
        <v>0.08</v>
      </c>
      <c r="D30" s="262"/>
      <c r="E30" s="263">
        <v>6.1600000000000002E-2</v>
      </c>
      <c r="F30" s="836">
        <v>7.3999999999999996E-2</v>
      </c>
      <c r="G30" s="837"/>
      <c r="H30" s="264">
        <v>8.9599999999999999E-2</v>
      </c>
      <c r="N30" s="276"/>
      <c r="O30" s="276"/>
      <c r="P30" s="266"/>
      <c r="Q30" s="269"/>
      <c r="R30" s="277"/>
    </row>
    <row r="31" spans="1:18" ht="15" customHeight="1" thickBot="1" x14ac:dyDescent="0.3">
      <c r="A31" s="806" t="s">
        <v>114</v>
      </c>
      <c r="B31" s="807"/>
      <c r="C31" s="270">
        <f>SUM(C30)</f>
        <v>0.08</v>
      </c>
      <c r="D31" s="271"/>
      <c r="E31" s="272"/>
      <c r="F31" s="838"/>
      <c r="G31" s="839"/>
      <c r="H31" s="273"/>
      <c r="N31" s="257"/>
      <c r="O31" s="276"/>
      <c r="P31" s="266"/>
      <c r="Q31" s="269"/>
      <c r="R31" s="277"/>
    </row>
    <row r="32" spans="1:18" ht="3" customHeight="1" thickBot="1" x14ac:dyDescent="0.3">
      <c r="A32" s="814"/>
      <c r="B32" s="815"/>
      <c r="C32" s="815"/>
      <c r="D32" s="274"/>
      <c r="E32" s="262"/>
      <c r="F32" s="262"/>
      <c r="G32" s="262"/>
      <c r="H32" s="275"/>
      <c r="N32" s="257"/>
      <c r="O32" s="265"/>
      <c r="P32" s="266"/>
      <c r="Q32" s="269"/>
      <c r="R32" s="280"/>
    </row>
    <row r="33" spans="1:18" ht="15" customHeight="1" x14ac:dyDescent="0.25">
      <c r="A33" s="206" t="s">
        <v>115</v>
      </c>
      <c r="B33" s="823" t="s">
        <v>116</v>
      </c>
      <c r="C33" s="824"/>
      <c r="D33" s="258"/>
      <c r="E33" s="825" t="s">
        <v>117</v>
      </c>
      <c r="F33" s="826"/>
      <c r="G33" s="826"/>
      <c r="H33" s="827"/>
      <c r="N33" s="257"/>
      <c r="O33" s="256"/>
      <c r="P33" s="257"/>
      <c r="Q33" s="269"/>
      <c r="R33" s="257"/>
    </row>
    <row r="34" spans="1:18" ht="15" customHeight="1" x14ac:dyDescent="0.25">
      <c r="A34" s="207" t="s">
        <v>118</v>
      </c>
      <c r="B34" s="208" t="s">
        <v>119</v>
      </c>
      <c r="C34" s="209">
        <v>6.4999999999999997E-3</v>
      </c>
      <c r="D34" s="262"/>
      <c r="E34" s="828" t="s">
        <v>120</v>
      </c>
      <c r="F34" s="830" t="s">
        <v>121</v>
      </c>
      <c r="G34" s="830"/>
      <c r="H34" s="832" t="s">
        <v>122</v>
      </c>
      <c r="N34" s="257"/>
      <c r="O34" s="256"/>
      <c r="P34" s="257"/>
      <c r="Q34" s="269"/>
      <c r="R34" s="257"/>
    </row>
    <row r="35" spans="1:18" ht="18" customHeight="1" thickBot="1" x14ac:dyDescent="0.3">
      <c r="A35" s="207" t="s">
        <v>123</v>
      </c>
      <c r="B35" s="208" t="s">
        <v>124</v>
      </c>
      <c r="C35" s="209">
        <v>0.03</v>
      </c>
      <c r="D35" s="262"/>
      <c r="E35" s="829"/>
      <c r="F35" s="831"/>
      <c r="G35" s="831"/>
      <c r="H35" s="833"/>
      <c r="N35" s="281"/>
      <c r="O35" s="256"/>
      <c r="P35" s="257"/>
      <c r="Q35" s="257"/>
      <c r="R35" s="257"/>
    </row>
    <row r="36" spans="1:18" ht="3.75" customHeight="1" thickBot="1" x14ac:dyDescent="0.3">
      <c r="A36" s="789" t="s">
        <v>125</v>
      </c>
      <c r="B36" s="791" t="s">
        <v>126</v>
      </c>
      <c r="C36" s="793">
        <f>H37</f>
        <v>2.5000000000000001E-2</v>
      </c>
      <c r="D36" s="262"/>
      <c r="E36" s="282"/>
      <c r="F36" s="262"/>
      <c r="G36" s="262"/>
      <c r="H36" s="275"/>
      <c r="N36" s="257"/>
      <c r="O36" s="283"/>
      <c r="P36" s="284"/>
      <c r="Q36" s="257"/>
      <c r="R36" s="257"/>
    </row>
    <row r="37" spans="1:18" ht="13.5" customHeight="1" thickBot="1" x14ac:dyDescent="0.3">
      <c r="A37" s="790"/>
      <c r="B37" s="792"/>
      <c r="C37" s="794"/>
      <c r="D37" s="262"/>
      <c r="E37" s="285">
        <v>0.05</v>
      </c>
      <c r="F37" s="795">
        <v>0.5</v>
      </c>
      <c r="G37" s="796"/>
      <c r="H37" s="286">
        <f>E37*F37</f>
        <v>2.5000000000000001E-2</v>
      </c>
      <c r="N37" s="287"/>
      <c r="O37" s="288"/>
      <c r="P37" s="289"/>
      <c r="Q37" s="290"/>
      <c r="R37" s="290"/>
    </row>
    <row r="38" spans="1:18" ht="15" customHeight="1" thickBot="1" x14ac:dyDescent="0.25">
      <c r="A38" s="291" t="s">
        <v>127</v>
      </c>
      <c r="B38" s="292" t="s">
        <v>135</v>
      </c>
      <c r="C38" s="293">
        <v>0</v>
      </c>
      <c r="D38" s="262"/>
      <c r="E38" s="262"/>
      <c r="F38" s="805"/>
      <c r="G38" s="805"/>
      <c r="H38" s="275"/>
    </row>
    <row r="39" spans="1:18" ht="15" customHeight="1" thickBot="1" x14ac:dyDescent="0.25">
      <c r="A39" s="806" t="s">
        <v>128</v>
      </c>
      <c r="B39" s="807"/>
      <c r="C39" s="270">
        <f>SUM(C34:C38)</f>
        <v>6.1499999999999999E-2</v>
      </c>
      <c r="D39" s="271"/>
      <c r="E39" s="808" t="s">
        <v>129</v>
      </c>
      <c r="F39" s="809"/>
      <c r="G39" s="809"/>
      <c r="H39" s="810"/>
    </row>
    <row r="40" spans="1:18" ht="6" customHeight="1" x14ac:dyDescent="0.2">
      <c r="A40" s="814"/>
      <c r="B40" s="815"/>
      <c r="C40" s="815"/>
      <c r="D40" s="274"/>
      <c r="E40" s="811"/>
      <c r="F40" s="812"/>
      <c r="G40" s="812"/>
      <c r="H40" s="813"/>
    </row>
    <row r="41" spans="1:18" x14ac:dyDescent="0.2">
      <c r="A41" s="294"/>
      <c r="B41" s="258" t="s">
        <v>130</v>
      </c>
      <c r="C41" s="295"/>
      <c r="D41" s="295"/>
      <c r="E41" s="811"/>
      <c r="F41" s="812"/>
      <c r="G41" s="812"/>
      <c r="H41" s="813"/>
    </row>
    <row r="42" spans="1:18" ht="3.75" customHeight="1" thickBot="1" x14ac:dyDescent="0.25">
      <c r="A42" s="296"/>
      <c r="B42" s="274"/>
      <c r="C42" s="274"/>
      <c r="D42" s="274"/>
      <c r="E42" s="811"/>
      <c r="F42" s="812"/>
      <c r="G42" s="812"/>
      <c r="H42" s="813"/>
    </row>
    <row r="43" spans="1:18" x14ac:dyDescent="0.2">
      <c r="A43" s="816" t="s">
        <v>131</v>
      </c>
      <c r="B43" s="817"/>
      <c r="C43" s="818"/>
      <c r="D43" s="238"/>
      <c r="E43" s="811"/>
      <c r="F43" s="812"/>
      <c r="G43" s="812"/>
      <c r="H43" s="813"/>
    </row>
    <row r="44" spans="1:18" ht="15" thickBot="1" x14ac:dyDescent="0.25">
      <c r="A44" s="819"/>
      <c r="B44" s="820"/>
      <c r="C44" s="821"/>
      <c r="D44" s="238"/>
      <c r="E44" s="254" t="s">
        <v>132</v>
      </c>
      <c r="F44" s="822" t="s">
        <v>101</v>
      </c>
      <c r="G44" s="822"/>
      <c r="H44" s="255" t="s">
        <v>133</v>
      </c>
    </row>
    <row r="45" spans="1:18" ht="3.75" customHeight="1" thickBot="1" x14ac:dyDescent="0.25">
      <c r="A45" s="297"/>
      <c r="B45" s="298"/>
      <c r="C45" s="299"/>
      <c r="D45" s="299"/>
      <c r="E45" s="299"/>
      <c r="H45" s="44"/>
    </row>
    <row r="46" spans="1:18" ht="16.5" thickBot="1" x14ac:dyDescent="0.25">
      <c r="A46" s="797" t="s">
        <v>134</v>
      </c>
      <c r="B46" s="798"/>
      <c r="C46" s="801">
        <f>(((1+C26+C23+C24)*(1+C25)*(1+C31))/(1-C39))-1</f>
        <v>0.25001501545018612</v>
      </c>
      <c r="D46" s="300"/>
      <c r="E46" s="285">
        <v>0.2034</v>
      </c>
      <c r="F46" s="803">
        <v>0.22120000000000001</v>
      </c>
      <c r="G46" s="804"/>
      <c r="H46" s="301">
        <v>0.25</v>
      </c>
    </row>
    <row r="47" spans="1:18" ht="16.5" thickBot="1" x14ac:dyDescent="0.25">
      <c r="A47" s="799"/>
      <c r="B47" s="800"/>
      <c r="C47" s="802"/>
      <c r="D47" s="302"/>
      <c r="E47" s="302"/>
      <c r="F47" s="303"/>
      <c r="G47" s="303"/>
      <c r="H47" s="304"/>
    </row>
    <row r="49" spans="2:4" ht="18" x14ac:dyDescent="0.2">
      <c r="B49" s="305"/>
    </row>
    <row r="51" spans="2:4" ht="18" x14ac:dyDescent="0.25">
      <c r="D51" s="306"/>
    </row>
    <row r="55" spans="2:4" x14ac:dyDescent="0.2">
      <c r="B55" s="247"/>
    </row>
  </sheetData>
  <mergeCells count="59">
    <mergeCell ref="A16:H16"/>
    <mergeCell ref="A7:C7"/>
    <mergeCell ref="D7:E7"/>
    <mergeCell ref="G7:H7"/>
    <mergeCell ref="A8:C8"/>
    <mergeCell ref="D8:E8"/>
    <mergeCell ref="G8:H8"/>
    <mergeCell ref="A10:E11"/>
    <mergeCell ref="A1:E1"/>
    <mergeCell ref="A2:E2"/>
    <mergeCell ref="A3:E3"/>
    <mergeCell ref="D5:E5"/>
    <mergeCell ref="A6:C6"/>
    <mergeCell ref="D6:E6"/>
    <mergeCell ref="AE10:AE14"/>
    <mergeCell ref="A13:B13"/>
    <mergeCell ref="C13:D13"/>
    <mergeCell ref="M13:O13"/>
    <mergeCell ref="C14:D14"/>
    <mergeCell ref="A18:C18"/>
    <mergeCell ref="E18:H19"/>
    <mergeCell ref="A19:A20"/>
    <mergeCell ref="B19:B20"/>
    <mergeCell ref="C19:C20"/>
    <mergeCell ref="F20:G20"/>
    <mergeCell ref="A21:C21"/>
    <mergeCell ref="B22:C22"/>
    <mergeCell ref="F22:G22"/>
    <mergeCell ref="F23:G23"/>
    <mergeCell ref="F24:G24"/>
    <mergeCell ref="F25:G25"/>
    <mergeCell ref="F26:G26"/>
    <mergeCell ref="A27:B27"/>
    <mergeCell ref="F27:G27"/>
    <mergeCell ref="A28:C28"/>
    <mergeCell ref="B29:C29"/>
    <mergeCell ref="F29:G29"/>
    <mergeCell ref="F30:G30"/>
    <mergeCell ref="A31:B31"/>
    <mergeCell ref="F31:G31"/>
    <mergeCell ref="A32:C32"/>
    <mergeCell ref="B33:C33"/>
    <mergeCell ref="E33:H33"/>
    <mergeCell ref="E34:E35"/>
    <mergeCell ref="F34:G35"/>
    <mergeCell ref="H34:H35"/>
    <mergeCell ref="A36:A37"/>
    <mergeCell ref="B36:B37"/>
    <mergeCell ref="C36:C37"/>
    <mergeCell ref="F37:G37"/>
    <mergeCell ref="A46:B47"/>
    <mergeCell ref="C46:C47"/>
    <mergeCell ref="F46:G46"/>
    <mergeCell ref="F38:G38"/>
    <mergeCell ref="A39:B39"/>
    <mergeCell ref="E39:H43"/>
    <mergeCell ref="A40:C40"/>
    <mergeCell ref="A43:C44"/>
    <mergeCell ref="F44:G44"/>
  </mergeCells>
  <conditionalFormatting sqref="A10 O10:O12 Q10:S12 I10:I14 T10:T14 AK10:AK14 AM10:AX14 AZ10:HH14 B12:C12 E12:H12 A12:A14 L13 E13:E14 U13:V14 Y13:AD14 AF13:AG14 B14 O14">
    <cfRule type="cellIs" dxfId="0" priority="1" stopIfTrue="1" operator="equal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9" orientation="portrait" r:id="rId1"/>
  <headerFooter>
    <oddFooter>&amp;L&amp;A&amp;RPágina &amp;P de &amp;N</oddFooter>
  </headerFooter>
  <colBreaks count="1" manualBreakCount="1">
    <brk id="8" min="9" max="79" man="1"/>
  </colBreaks>
  <ignoredErrors>
    <ignoredError sqref="C36 D6:E8 A6:C8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SERVIÇOS</vt:lpstr>
      <vt:lpstr>COMPOSIÇÕES</vt:lpstr>
      <vt:lpstr>CRONOGRAMA</vt:lpstr>
      <vt:lpstr>ENCARGOS SOCIAIS</vt:lpstr>
      <vt:lpstr>BDI OBRAS</vt:lpstr>
      <vt:lpstr>'BDI OBRAS'!Area_de_impressao</vt:lpstr>
      <vt:lpstr>COMPOSIÇÕES!Area_de_impressao</vt:lpstr>
      <vt:lpstr>CRONOGRAMA!Area_de_impressao</vt:lpstr>
      <vt:lpstr>'ENCARGOS SOCIAIS'!Area_de_impressao</vt:lpstr>
      <vt:lpstr>SERVIÇOS!Area_de_impressao</vt:lpstr>
      <vt:lpstr>COMPOSIÇÕES!Titulos_de_impressao</vt:lpstr>
      <vt:lpstr>SERVIÇOS!Titulos_de_impressao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Inácio Antonio Alves dos Santos</dc:creator>
  <cp:lastModifiedBy>Fabricio Ribeiro Garcia</cp:lastModifiedBy>
  <cp:lastPrinted>2025-09-02T14:49:24Z</cp:lastPrinted>
  <dcterms:created xsi:type="dcterms:W3CDTF">2008-04-08T18:49:41Z</dcterms:created>
  <dcterms:modified xsi:type="dcterms:W3CDTF">2025-09-02T14:49:34Z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